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11'!$A$1:$L$90</definedName>
  </definedNames>
  <calcPr fullCalcOnLoad="1"/>
</workbook>
</file>

<file path=xl/sharedStrings.xml><?xml version="1.0" encoding="utf-8"?>
<sst xmlns="http://schemas.openxmlformats.org/spreadsheetml/2006/main" count="747" uniqueCount="555">
  <si>
    <t>Капітальний ремонт внутрішньоквартального проїзду з вул. В. Чорновола до буд. по вул. Радянській, 39/1 вздовж будинку В. Чорновола, 118/1 м. Черкаси (з ПКД) (в т.ч. кредиторська заборгованість 2014 року- 11795,0 грн.)</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</si>
  <si>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</si>
  <si>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</si>
  <si>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</si>
  <si>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</si>
  <si>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</si>
  <si>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</si>
  <si>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</si>
  <si>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</si>
  <si>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</si>
  <si>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</si>
  <si>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</si>
  <si>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</si>
  <si>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</si>
  <si>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</si>
  <si>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</si>
  <si>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</si>
  <si>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</si>
  <si>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</si>
  <si>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</si>
  <si>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</si>
  <si>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</si>
  <si>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</si>
  <si>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</si>
  <si>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</si>
  <si>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</si>
  <si>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</si>
  <si>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</si>
  <si>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</si>
  <si>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</si>
  <si>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</si>
  <si>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</si>
  <si>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</si>
  <si>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</si>
  <si>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</si>
  <si>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</si>
  <si>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</si>
  <si>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</si>
  <si>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</si>
  <si>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</si>
  <si>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</si>
  <si>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</si>
  <si>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</si>
  <si>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Профінансовано станом на 30.11.15</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</si>
  <si>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</si>
  <si>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</si>
  <si>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</si>
  <si>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в т.ч. по загальному фонду</t>
  </si>
  <si>
    <t>Відсоток виконання до плану  11 місяців</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</si>
  <si>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</si>
  <si>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</si>
  <si>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</si>
  <si>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</si>
  <si>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</si>
  <si>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</si>
  <si>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</si>
  <si>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</si>
  <si>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</si>
  <si>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</si>
  <si>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</si>
  <si>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</si>
  <si>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</si>
  <si>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</si>
  <si>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</si>
  <si>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</si>
  <si>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</si>
  <si>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</si>
  <si>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</si>
  <si>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</si>
  <si>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</si>
  <si>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</si>
  <si>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</si>
  <si>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</si>
  <si>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</si>
  <si>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</si>
  <si>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</si>
  <si>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</si>
  <si>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</si>
  <si>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</si>
  <si>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</si>
  <si>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</si>
  <si>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</si>
  <si>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</si>
  <si>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</si>
  <si>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</si>
  <si>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</si>
  <si>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</si>
  <si>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</si>
  <si>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</si>
  <si>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</si>
  <si>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</si>
  <si>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</si>
  <si>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</si>
  <si>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</si>
  <si>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</si>
  <si>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</si>
  <si>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</si>
  <si>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</si>
  <si>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</si>
  <si>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</si>
  <si>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</si>
  <si>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</si>
  <si>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</si>
  <si>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</si>
  <si>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</si>
  <si>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</si>
  <si>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</si>
  <si>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</si>
  <si>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</si>
  <si>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</si>
  <si>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</si>
  <si>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</si>
  <si>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</si>
  <si>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</si>
  <si>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</si>
  <si>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</si>
  <si>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</si>
  <si>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</si>
  <si>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</si>
  <si>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</si>
  <si>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Капітальний ремонт тротуарів по  вул. Вербовецького від вул. Орджонікідзе до бул. Шевченка, м.Черкаси</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</si>
  <si>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</si>
  <si>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</si>
  <si>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</si>
  <si>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</si>
  <si>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</si>
  <si>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</si>
  <si>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</si>
  <si>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</si>
  <si>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</si>
  <si>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</si>
  <si>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</si>
  <si>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</si>
  <si>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</si>
  <si>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</si>
  <si>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</si>
  <si>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</si>
  <si>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</si>
  <si>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</si>
  <si>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</si>
  <si>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</si>
  <si>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 xml:space="preserve">Капітальний ремонт вул. Смілянська (тротуар, парна сторона від вул. Хоменка до вул. Луценка) в м. Черкаси </t>
  </si>
  <si>
    <t xml:space="preserve">Капітальний ремонт вул. Гоголя (тротуар, парна сторона від вул. Кірова до вул. Остафія Дашкевича) в м. Черкаси </t>
  </si>
  <si>
    <t>Капітальний ремонт міжквартального проїзду від вул. Ільїна до житлового будинку № 222 по вул. Благовісній в м. Черкаси</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</si>
  <si>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</si>
  <si>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</si>
  <si>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</si>
  <si>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</si>
  <si>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</si>
  <si>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</si>
  <si>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</si>
  <si>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</si>
  <si>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</si>
  <si>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</si>
  <si>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</si>
  <si>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</si>
  <si>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</si>
  <si>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</si>
  <si>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</si>
  <si>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</si>
  <si>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</si>
  <si>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</si>
  <si>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</si>
  <si>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</si>
  <si>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</si>
  <si>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</si>
  <si>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</si>
  <si>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</si>
  <si>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</si>
  <si>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</si>
  <si>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</si>
  <si>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</si>
  <si>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</si>
  <si>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</si>
  <si>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</si>
  <si>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</si>
  <si>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</si>
  <si>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</si>
  <si>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</si>
  <si>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</si>
  <si>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</si>
  <si>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</si>
  <si>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</si>
  <si>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</si>
  <si>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</si>
  <si>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</si>
  <si>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</si>
  <si>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</si>
  <si>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</si>
  <si>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</si>
  <si>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</si>
  <si>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</si>
  <si>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</si>
  <si>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</si>
  <si>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</si>
  <si>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</si>
  <si>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</si>
  <si>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</si>
  <si>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</si>
  <si>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</si>
  <si>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</si>
  <si>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</si>
  <si>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</si>
  <si>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</si>
  <si>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</si>
  <si>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</si>
  <si>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</si>
  <si>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</si>
  <si>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</si>
  <si>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</si>
  <si>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</si>
  <si>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</si>
  <si>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</si>
  <si>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</si>
  <si>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</si>
  <si>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</si>
  <si>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</si>
  <si>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</si>
  <si>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</si>
  <si>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</si>
  <si>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</si>
  <si>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</si>
  <si>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</si>
  <si>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</si>
  <si>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</si>
  <si>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</si>
  <si>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</si>
  <si>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</si>
  <si>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</si>
  <si>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</si>
  <si>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</si>
  <si>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</si>
  <si>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</si>
  <si>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</si>
  <si>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</si>
  <si>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</si>
  <si>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</si>
  <si>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</si>
  <si>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</si>
  <si>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Капітальний ремонт вул. Небесної сотні від вул Хрещатик до бул.Шевченка</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</si>
  <si>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</si>
  <si>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</si>
  <si>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</si>
  <si>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</si>
  <si>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</si>
  <si>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</si>
  <si>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</si>
  <si>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</si>
  <si>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</si>
  <si>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</si>
  <si>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</si>
  <si>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</si>
  <si>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</si>
  <si>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</si>
  <si>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</si>
  <si>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</si>
  <si>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</si>
  <si>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</si>
  <si>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</si>
  <si>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</si>
  <si>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</si>
  <si>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</si>
  <si>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</si>
  <si>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</si>
  <si>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</si>
  <si>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</si>
  <si>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</si>
  <si>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</si>
  <si>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</si>
  <si>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</si>
  <si>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</si>
  <si>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Капітальний ремонт вул. Байди Вишневецького від Замкового узвозу до вул. Хрещатик</t>
  </si>
  <si>
    <t xml:space="preserve"> -  на проведення поточного ремонту та утримання об'єктів вулично-дорожньої мережі</t>
  </si>
  <si>
    <t xml:space="preserve">Утримання мереж зливової каналізації </t>
  </si>
  <si>
    <t>Капітальний ремонт тротуару від Алеї Путейко до ДНЗ №87 "Дельфін" та житлового будинку по вул. Ярославська,36</t>
  </si>
  <si>
    <t>Капітальний ремонт тротуару від житлових будинків 64,66 по вул. О.Дашкевича до вул. Ільїна (з ПКД)</t>
  </si>
  <si>
    <t>Капітальний ремонт мереж зливової каналізації по вул. 30-р. Перемоги</t>
  </si>
  <si>
    <t>Капітальний ремонт вул. Петровського від вул. Горького до вул. Чехова</t>
  </si>
  <si>
    <t xml:space="preserve">Капітальний ремонт вул. Котовського (встановлення світлофору на перехресті з вул. Червоноармійською) </t>
  </si>
  <si>
    <t>Реконструкція вул. Менделєєва від вул. Санаторної до вул. Я. Галана</t>
  </si>
  <si>
    <t xml:space="preserve">Реконструкція із застосуванням щебенево-мастичного асфальтобетону вул. Гагаріна від вул. Сержанта Жужоми до узвозу Клубний (з ПКД) </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</si>
  <si>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</si>
  <si>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</si>
  <si>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</si>
  <si>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</si>
  <si>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</si>
  <si>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</si>
  <si>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</si>
  <si>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</si>
  <si>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</si>
  <si>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</si>
  <si>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</si>
  <si>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</si>
  <si>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</si>
  <si>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</si>
  <si>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</si>
  <si>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</si>
  <si>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</si>
  <si>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</si>
  <si>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</si>
  <si>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</si>
  <si>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</si>
  <si>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</si>
  <si>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</si>
  <si>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</si>
  <si>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</si>
  <si>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</si>
  <si>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</si>
  <si>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</si>
  <si>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</si>
  <si>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</si>
  <si>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</si>
  <si>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</si>
  <si>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</si>
  <si>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</si>
  <si>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</si>
  <si>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</si>
  <si>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</si>
  <si>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</si>
  <si>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</si>
  <si>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</si>
  <si>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</si>
  <si>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</si>
  <si>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</si>
  <si>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</si>
  <si>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</si>
  <si>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</si>
  <si>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</si>
  <si>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</si>
  <si>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</si>
  <si>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</si>
  <si>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</si>
  <si>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</si>
  <si>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</si>
  <si>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</si>
  <si>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</si>
  <si>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</si>
  <si>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</si>
  <si>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</si>
  <si>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Фінансова підтримка КП "ЧЕЛУАШ" на проведення термінового (аварійного) поточного ремонту вулично-дорожньої мережі</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</si>
  <si>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</si>
  <si>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</si>
  <si>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</si>
  <si>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</si>
  <si>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</si>
  <si>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</si>
  <si>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</si>
  <si>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</si>
  <si>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</si>
  <si>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</si>
  <si>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</si>
  <si>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</si>
  <si>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</si>
  <si>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</si>
  <si>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</si>
  <si>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</si>
  <si>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</si>
  <si>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</si>
  <si>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</si>
  <si>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</si>
  <si>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</si>
  <si>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</si>
  <si>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</si>
  <si>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</si>
  <si>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</si>
  <si>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</si>
  <si>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</si>
  <si>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</si>
  <si>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</si>
  <si>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</si>
  <si>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</si>
  <si>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</si>
  <si>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</si>
  <si>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</si>
  <si>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</si>
  <si>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</si>
  <si>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</si>
  <si>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</si>
  <si>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</si>
  <si>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</si>
  <si>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</si>
  <si>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</si>
  <si>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</si>
  <si>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</si>
  <si>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Залишок призначень до плану 11 місяців</t>
  </si>
  <si>
    <t>Капітальний ремонт вул. Одеська  від вул. Лісова Просіка до вул. Онопрієнка (кредиторська заборгованість 2014 року)</t>
  </si>
  <si>
    <t>Капітальний ремонт вул. Сержанта Волкова</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</si>
  <si>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</si>
  <si>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</si>
  <si>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</si>
  <si>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</si>
  <si>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</si>
  <si>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</si>
  <si>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</si>
  <si>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</si>
  <si>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</si>
  <si>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</si>
  <si>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</si>
  <si>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</si>
  <si>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</si>
  <si>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</si>
  <si>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</si>
  <si>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</si>
  <si>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</si>
  <si>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</si>
  <si>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</si>
  <si>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</si>
  <si>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</si>
  <si>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</si>
  <si>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</si>
  <si>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</si>
  <si>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</si>
  <si>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</si>
  <si>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</si>
  <si>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</si>
  <si>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</si>
  <si>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</si>
  <si>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</si>
  <si>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</si>
  <si>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</si>
  <si>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</si>
  <si>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</si>
  <si>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Капітальний ремонт тротуару парної сторони вул. Бидгощської від вул. Пастерівської  до вул. Рози Люксембург, м. Черкаси</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</si>
  <si>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</si>
  <si>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</si>
  <si>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</si>
  <si>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</si>
  <si>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</si>
  <si>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</si>
  <si>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</si>
  <si>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</si>
  <si>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</si>
  <si>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 xml:space="preserve">лютий </t>
  </si>
  <si>
    <t>березень</t>
  </si>
  <si>
    <t xml:space="preserve">квітень </t>
  </si>
  <si>
    <t>травень</t>
  </si>
  <si>
    <t>червень</t>
  </si>
  <si>
    <t>липень</t>
  </si>
  <si>
    <t>серпень</t>
  </si>
  <si>
    <t>вересень</t>
  </si>
  <si>
    <t>жовтень</t>
  </si>
  <si>
    <t>листопад</t>
  </si>
  <si>
    <t>грудень</t>
  </si>
  <si>
    <t>ЗФ</t>
  </si>
  <si>
    <t>СФ</t>
  </si>
  <si>
    <t>БР</t>
  </si>
  <si>
    <t>Роботи з проектування будівництва, реконструкції та ремонту доріг (кредиторська заборгованість 2014 р)</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</si>
  <si>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</si>
  <si>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</si>
  <si>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</si>
  <si>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</si>
  <si>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</si>
  <si>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</si>
  <si>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</si>
  <si>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</si>
  <si>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</si>
  <si>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</si>
  <si>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</si>
  <si>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</si>
  <si>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</si>
  <si>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</si>
  <si>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</si>
  <si>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</si>
  <si>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</si>
  <si>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</si>
  <si>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</si>
  <si>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</si>
  <si>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</si>
  <si>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</si>
  <si>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</si>
  <si>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</si>
  <si>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</si>
  <si>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</si>
  <si>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</si>
  <si>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</si>
  <si>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</si>
  <si>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</si>
  <si>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</si>
  <si>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</si>
  <si>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</si>
  <si>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</si>
  <si>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</si>
  <si>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</si>
  <si>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</si>
  <si>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</si>
  <si>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</si>
  <si>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в т.ч. по бюджету розвитку</t>
  </si>
  <si>
    <t>в т.ч. по спеціальному фонду</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</si>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</sst>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bottom/>
    </border>
    <border>
      <left style="thin"/>
      <right style="thin"/>
      <top/>
      <bottom style="thin"/>
    </border>
    <border>
      <left style="thin"/>
      <right/>
      <top style="thin"/>
      <bottom style="thin"/>
    </border>
    <border>
      <left/>
      <right/>
      <top style="thin"/>
      <bottom style="thin"/>
    </border>
    <border>
      <left>
        <color indexed="63"/>
      </left>
      <right>
        <color indexed="63"/>
      </right>
      <top>
        <color indexed="63"/>
      </top>
      <bottom style="thin"/>
    </border>
    <border>
      <left>
        <color indexed="63"/>
      </left>
      <right style="thin"/>
      <top>
        <color indexed="63"/>
      </top>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6"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5" fillId="0" borderId="0" applyFont="0" applyFill="0" applyBorder="0" applyAlignment="0" applyProtection="0"/>
    <xf numFmtId="0" fontId="54" fillId="6" borderId="0" applyNumberFormat="0" applyBorder="0" applyAlignment="0" applyProtection="0"/>
  </cellStyleXfs>
  <cellXfs count="286">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9" applyFont="1">
      <alignment/>
      <protection/>
    </xf>
    <xf numFmtId="0" fontId="18" fillId="0" borderId="0" xfId="79" applyFont="1">
      <alignment/>
      <protection/>
    </xf>
    <xf numFmtId="4" fontId="5" fillId="0" borderId="11" xfId="79" applyNumberFormat="1" applyFont="1" applyFill="1" applyBorder="1" applyAlignment="1">
      <alignment horizontal="center" vertical="center"/>
      <protection/>
    </xf>
    <xf numFmtId="0" fontId="3" fillId="0" borderId="0" xfId="79" applyFont="1">
      <alignment/>
      <protection/>
    </xf>
    <xf numFmtId="0" fontId="18" fillId="0" borderId="11" xfId="79" applyFont="1" applyBorder="1" applyAlignment="1">
      <alignment horizontal="center"/>
      <protection/>
    </xf>
    <xf numFmtId="49" fontId="24" fillId="0" borderId="11" xfId="79" applyNumberFormat="1" applyFont="1" applyFill="1" applyBorder="1" applyAlignment="1">
      <alignment horizontal="center" vertical="center" wrapText="1"/>
      <protection/>
    </xf>
    <xf numFmtId="0" fontId="24" fillId="0" borderId="11" xfId="79" applyFont="1" applyBorder="1">
      <alignment/>
      <protection/>
    </xf>
    <xf numFmtId="0" fontId="24" fillId="0" borderId="11" xfId="79" applyFont="1" applyFill="1" applyBorder="1" applyAlignment="1">
      <alignment horizontal="left" wrapText="1"/>
      <protection/>
    </xf>
    <xf numFmtId="4" fontId="24" fillId="0" borderId="11" xfId="79"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9" applyFont="1" applyBorder="1" applyAlignment="1">
      <alignment horizontal="center" wrapText="1"/>
      <protection/>
    </xf>
    <xf numFmtId="0" fontId="24" fillId="0" borderId="0" xfId="79" applyFont="1">
      <alignment/>
      <protection/>
    </xf>
    <xf numFmtId="0" fontId="24" fillId="0" borderId="0" xfId="79"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9" applyFont="1" applyAlignment="1">
      <alignment horizontal="center"/>
      <protection/>
    </xf>
    <xf numFmtId="49" fontId="24" fillId="0" borderId="0" xfId="79" applyNumberFormat="1" applyFont="1" applyFill="1" applyBorder="1" applyAlignment="1">
      <alignment horizontal="center" vertical="center" wrapText="1"/>
      <protection/>
    </xf>
    <xf numFmtId="0" fontId="20" fillId="0" borderId="0" xfId="79" applyFont="1" applyAlignment="1">
      <alignment/>
      <protection/>
    </xf>
    <xf numFmtId="0" fontId="5" fillId="0" borderId="0" xfId="79" applyFont="1" applyAlignment="1">
      <alignment horizontal="center" wrapText="1"/>
      <protection/>
    </xf>
    <xf numFmtId="0" fontId="0" fillId="0" borderId="0" xfId="79" applyFont="1" applyBorder="1">
      <alignment/>
      <protection/>
    </xf>
    <xf numFmtId="0" fontId="18" fillId="0" borderId="0" xfId="79" applyFont="1" applyAlignment="1">
      <alignment horizontal="right"/>
      <protection/>
    </xf>
    <xf numFmtId="0" fontId="13" fillId="0" borderId="11" xfId="0" applyFont="1" applyBorder="1" applyAlignment="1">
      <alignment horizontal="center" vertical="center" wrapText="1"/>
    </xf>
    <xf numFmtId="0" fontId="5" fillId="25" borderId="11" xfId="79" applyFont="1" applyFill="1" applyBorder="1" applyAlignment="1">
      <alignment horizontal="center"/>
      <protection/>
    </xf>
    <xf numFmtId="0" fontId="5" fillId="25" borderId="11" xfId="79" applyFont="1" applyFill="1" applyBorder="1" applyAlignment="1">
      <alignment horizontal="left" wrapText="1"/>
      <protection/>
    </xf>
    <xf numFmtId="4" fontId="5" fillId="25" borderId="11" xfId="89" applyNumberFormat="1" applyFont="1" applyFill="1" applyBorder="1" applyAlignment="1">
      <alignment horizontal="center" vertical="center"/>
    </xf>
    <xf numFmtId="0" fontId="5" fillId="0" borderId="11" xfId="79"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9" applyFont="1" applyBorder="1">
      <alignment/>
      <protection/>
    </xf>
    <xf numFmtId="0" fontId="45" fillId="0" borderId="11" xfId="79"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9" applyNumberFormat="1" applyFont="1" applyBorder="1" applyAlignment="1">
      <alignment horizontal="center" wrapText="1"/>
      <protection/>
    </xf>
    <xf numFmtId="4" fontId="5" fillId="25" borderId="11" xfId="89" applyNumberFormat="1" applyFont="1" applyFill="1" applyBorder="1" applyAlignment="1">
      <alignment horizontal="left" vertical="center"/>
    </xf>
    <xf numFmtId="4" fontId="5" fillId="0" borderId="11" xfId="79" applyNumberFormat="1" applyFont="1" applyBorder="1" applyAlignment="1">
      <alignment horizontal="center" wrapText="1"/>
      <protection/>
    </xf>
    <xf numFmtId="4" fontId="5" fillId="0" borderId="11" xfId="79" applyNumberFormat="1" applyFont="1" applyFill="1" applyBorder="1" applyAlignment="1">
      <alignment horizontal="center" wrapText="1"/>
      <protection/>
    </xf>
    <xf numFmtId="16" fontId="5" fillId="25" borderId="11" xfId="79" applyNumberFormat="1" applyFont="1" applyFill="1" applyBorder="1" applyAlignment="1">
      <alignment horizontal="center"/>
      <protection/>
    </xf>
    <xf numFmtId="0" fontId="44" fillId="25" borderId="11" xfId="79" applyFont="1" applyFill="1" applyBorder="1" applyAlignment="1">
      <alignment horizontal="center" vertical="center" wrapText="1"/>
      <protection/>
    </xf>
    <xf numFmtId="0" fontId="24" fillId="0" borderId="0" xfId="79" applyFont="1" applyBorder="1" applyAlignment="1">
      <alignment vertical="top" wrapText="1"/>
      <protection/>
    </xf>
    <xf numFmtId="189" fontId="46" fillId="0" borderId="0" xfId="89" applyNumberFormat="1" applyFont="1" applyFill="1" applyBorder="1" applyAlignment="1">
      <alignment horizontal="center" vertical="center" wrapText="1"/>
    </xf>
    <xf numFmtId="0" fontId="5" fillId="0" borderId="0" xfId="79" applyFont="1" applyBorder="1" applyAlignment="1">
      <alignment horizontal="center" wrapText="1"/>
      <protection/>
    </xf>
    <xf numFmtId="0" fontId="24" fillId="25" borderId="11" xfId="79" applyFont="1" applyFill="1" applyBorder="1">
      <alignmen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4" fontId="24" fillId="0" borderId="11" xfId="79" applyNumberFormat="1" applyFont="1" applyFill="1" applyBorder="1" applyAlignment="1">
      <alignment horizontal="center" wrapText="1"/>
      <protection/>
    </xf>
    <xf numFmtId="4" fontId="18" fillId="20" borderId="11" xfId="0" applyNumberFormat="1" applyFont="1" applyFill="1" applyBorder="1" applyAlignment="1">
      <alignment horizontal="center" vertical="center"/>
    </xf>
    <xf numFmtId="0" fontId="3" fillId="20" borderId="11" xfId="79" applyFont="1" applyFill="1" applyBorder="1">
      <alignment/>
      <protection/>
    </xf>
    <xf numFmtId="4" fontId="5" fillId="25" borderId="16" xfId="89" applyNumberFormat="1" applyFont="1" applyFill="1" applyBorder="1" applyAlignment="1">
      <alignment horizontal="center" vertical="center"/>
    </xf>
    <xf numFmtId="4" fontId="5"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4" fontId="24" fillId="20" borderId="16" xfId="0" applyNumberFormat="1" applyFont="1" applyFill="1" applyBorder="1" applyAlignment="1">
      <alignment horizontal="center"/>
    </xf>
    <xf numFmtId="4" fontId="18" fillId="4" borderId="11" xfId="78" applyNumberFormat="1" applyFont="1" applyFill="1" applyBorder="1" applyAlignment="1">
      <alignment horizontal="center" vertical="center"/>
      <protection/>
    </xf>
    <xf numFmtId="4" fontId="24" fillId="4" borderId="11" xfId="0" applyNumberFormat="1" applyFont="1" applyFill="1" applyBorder="1" applyAlignment="1">
      <alignment horizontal="center"/>
    </xf>
    <xf numFmtId="0" fontId="0" fillId="4" borderId="11" xfId="79" applyFont="1" applyFill="1" applyBorder="1">
      <alignment/>
      <protection/>
    </xf>
    <xf numFmtId="4" fontId="24" fillId="20" borderId="11" xfId="0" applyNumberFormat="1" applyFont="1" applyFill="1" applyBorder="1" applyAlignment="1">
      <alignment horizontal="center"/>
    </xf>
    <xf numFmtId="4" fontId="5" fillId="0" borderId="18" xfId="0" applyNumberFormat="1" applyFont="1" applyFill="1" applyBorder="1" applyAlignment="1">
      <alignment horizontal="center"/>
    </xf>
    <xf numFmtId="4" fontId="24" fillId="5" borderId="19" xfId="0" applyNumberFormat="1" applyFont="1" applyFill="1" applyBorder="1" applyAlignment="1">
      <alignment horizontal="center"/>
    </xf>
    <xf numFmtId="4" fontId="24" fillId="5" borderId="18" xfId="0" applyNumberFormat="1" applyFont="1" applyFill="1" applyBorder="1" applyAlignment="1">
      <alignment horizontal="center"/>
    </xf>
    <xf numFmtId="0" fontId="24" fillId="0" borderId="11" xfId="0" applyFont="1" applyFill="1" applyBorder="1" applyAlignment="1">
      <alignment horizontal="center" vertical="center" wrapText="1"/>
    </xf>
    <xf numFmtId="4" fontId="24" fillId="0" borderId="17" xfId="79" applyNumberFormat="1" applyFont="1" applyBorder="1" applyAlignment="1">
      <alignment horizontal="center" wrapText="1"/>
      <protection/>
    </xf>
    <xf numFmtId="0" fontId="3" fillId="20" borderId="0" xfId="79" applyFont="1" applyFill="1">
      <alignment/>
      <protection/>
    </xf>
    <xf numFmtId="4" fontId="24" fillId="20" borderId="11" xfId="79" applyNumberFormat="1" applyFont="1" applyFill="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4" fontId="5" fillId="25" borderId="20" xfId="89" applyNumberFormat="1" applyFont="1" applyFill="1" applyBorder="1" applyAlignment="1">
      <alignment horizontal="center" vertical="center"/>
    </xf>
    <xf numFmtId="4" fontId="5" fillId="0" borderId="21" xfId="0" applyNumberFormat="1" applyFont="1" applyFill="1" applyBorder="1" applyAlignment="1">
      <alignment horizontal="center"/>
    </xf>
    <xf numFmtId="0" fontId="0" fillId="4" borderId="20" xfId="79" applyFont="1" applyFill="1" applyBorder="1">
      <alignment/>
      <protection/>
    </xf>
    <xf numFmtId="4" fontId="24" fillId="5" borderId="20" xfId="0" applyNumberFormat="1" applyFont="1" applyFill="1" applyBorder="1" applyAlignment="1">
      <alignment horizontal="center"/>
    </xf>
    <xf numFmtId="4" fontId="5" fillId="0" borderId="20" xfId="0" applyNumberFormat="1" applyFont="1" applyFill="1" applyBorder="1" applyAlignment="1">
      <alignment horizontal="center"/>
    </xf>
    <xf numFmtId="4" fontId="18" fillId="20" borderId="20" xfId="0" applyNumberFormat="1" applyFont="1" applyFill="1" applyBorder="1" applyAlignment="1">
      <alignment horizontal="center" vertical="center"/>
    </xf>
    <xf numFmtId="4" fontId="5" fillId="25" borderId="17" xfId="89" applyNumberFormat="1" applyFont="1" applyFill="1" applyBorder="1" applyAlignment="1">
      <alignment horizontal="center" vertical="center"/>
    </xf>
    <xf numFmtId="4" fontId="5" fillId="0" borderId="17" xfId="79" applyNumberFormat="1" applyFont="1" applyBorder="1" applyAlignment="1">
      <alignment horizontal="center" wrapText="1"/>
      <protection/>
    </xf>
    <xf numFmtId="4" fontId="24" fillId="20" borderId="17"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24" fillId="20" borderId="17" xfId="0" applyNumberFormat="1" applyFont="1" applyFill="1" applyBorder="1" applyAlignment="1">
      <alignment horizontal="center"/>
    </xf>
    <xf numFmtId="4" fontId="5" fillId="0" borderId="16" xfId="0" applyNumberFormat="1" applyFont="1" applyFill="1" applyBorder="1" applyAlignment="1">
      <alignment horizontal="center"/>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24" fillId="0" borderId="16" xfId="79" applyNumberFormat="1" applyFont="1" applyBorder="1" applyAlignment="1">
      <alignment horizontal="center" wrapText="1"/>
      <protection/>
    </xf>
    <xf numFmtId="0" fontId="0" fillId="0" borderId="22" xfId="79" applyFont="1" applyFill="1" applyBorder="1">
      <alignment/>
      <protection/>
    </xf>
    <xf numFmtId="4" fontId="24" fillId="0" borderId="11" xfId="89" applyNumberFormat="1" applyFont="1" applyFill="1" applyBorder="1" applyAlignment="1">
      <alignment horizontal="center" vertical="center"/>
    </xf>
    <xf numFmtId="4" fontId="0" fillId="4" borderId="20" xfId="79" applyNumberFormat="1" applyFont="1" applyFill="1" applyBorder="1">
      <alignment/>
      <protection/>
    </xf>
    <xf numFmtId="0" fontId="0" fillId="0" borderId="0" xfId="79" applyFont="1" applyFill="1" applyBorder="1">
      <alignment/>
      <protection/>
    </xf>
    <xf numFmtId="0" fontId="13" fillId="0" borderId="0" xfId="0" applyFont="1" applyBorder="1" applyAlignment="1">
      <alignment horizontal="center" vertical="center" wrapText="1"/>
    </xf>
    <xf numFmtId="0" fontId="5" fillId="0" borderId="0" xfId="79" applyFont="1" applyFill="1" applyBorder="1" applyAlignment="1">
      <alignment horizontal="center" wrapText="1"/>
      <protection/>
    </xf>
    <xf numFmtId="4" fontId="5" fillId="0" borderId="11" xfId="89" applyNumberFormat="1" applyFont="1" applyFill="1" applyBorder="1" applyAlignment="1">
      <alignment horizontal="center" vertical="center"/>
    </xf>
    <xf numFmtId="4" fontId="5" fillId="0" borderId="0" xfId="0" applyNumberFormat="1" applyFont="1" applyFill="1" applyBorder="1" applyAlignment="1">
      <alignment horizontal="center"/>
    </xf>
    <xf numFmtId="4" fontId="24" fillId="0" borderId="0" xfId="89" applyNumberFormat="1" applyFont="1" applyFill="1" applyBorder="1" applyAlignment="1">
      <alignment horizontal="center" vertical="center"/>
    </xf>
    <xf numFmtId="4" fontId="5" fillId="0" borderId="0" xfId="79" applyNumberFormat="1" applyFont="1" applyFill="1" applyBorder="1" applyAlignment="1">
      <alignment horizontal="center" wrapText="1"/>
      <protection/>
    </xf>
    <xf numFmtId="4" fontId="5" fillId="0" borderId="0" xfId="89" applyNumberFormat="1" applyFont="1" applyFill="1" applyBorder="1" applyAlignment="1">
      <alignment horizontal="center" vertical="center"/>
    </xf>
    <xf numFmtId="0" fontId="13" fillId="0" borderId="0" xfId="0" applyFont="1" applyFill="1" applyBorder="1" applyAlignment="1">
      <alignment horizontal="center" vertical="center" wrapText="1"/>
    </xf>
    <xf numFmtId="4" fontId="5" fillId="7" borderId="11" xfId="79" applyNumberFormat="1" applyFont="1" applyFill="1" applyBorder="1" applyAlignment="1">
      <alignment/>
      <protection/>
    </xf>
    <xf numFmtId="4" fontId="24" fillId="7" borderId="11" xfId="79" applyNumberFormat="1" applyFont="1" applyFill="1" applyBorder="1" applyAlignment="1">
      <alignment/>
      <protection/>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3" fillId="0" borderId="0" xfId="79" applyFont="1" applyFill="1">
      <alignment/>
      <protection/>
    </xf>
    <xf numFmtId="4" fontId="5" fillId="25" borderId="11" xfId="89" applyNumberFormat="1" applyFont="1" applyFill="1" applyBorder="1" applyAlignment="1">
      <alignment horizontal="center" vertical="center"/>
    </xf>
    <xf numFmtId="0" fontId="0" fillId="0" borderId="18" xfId="79" applyFont="1" applyBorder="1">
      <alignment/>
      <protection/>
    </xf>
    <xf numFmtId="4" fontId="24" fillId="0" borderId="11" xfId="0" applyNumberFormat="1" applyFont="1" applyFill="1" applyBorder="1" applyAlignment="1">
      <alignment horizontal="center"/>
    </xf>
    <xf numFmtId="4" fontId="24" fillId="5" borderId="11" xfId="0" applyNumberFormat="1" applyFont="1" applyFill="1" applyBorder="1" applyAlignment="1">
      <alignment horizontal="center"/>
    </xf>
    <xf numFmtId="0" fontId="3" fillId="0" borderId="11" xfId="79" applyFont="1" applyBorder="1">
      <alignment/>
      <protection/>
    </xf>
    <xf numFmtId="4" fontId="3" fillId="0" borderId="0" xfId="79" applyNumberFormat="1" applyFont="1">
      <alignment/>
      <protection/>
    </xf>
    <xf numFmtId="4" fontId="5" fillId="25" borderId="16" xfId="89" applyNumberFormat="1" applyFont="1" applyFill="1" applyBorder="1" applyAlignment="1">
      <alignment horizontal="center" vertical="center"/>
    </xf>
    <xf numFmtId="4" fontId="5" fillId="0" borderId="16" xfId="0" applyNumberFormat="1" applyFont="1" applyFill="1" applyBorder="1" applyAlignment="1">
      <alignment horizontal="center"/>
    </xf>
    <xf numFmtId="4" fontId="0" fillId="0" borderId="11" xfId="79" applyNumberFormat="1" applyFont="1" applyFill="1" applyBorder="1">
      <alignment/>
      <protection/>
    </xf>
    <xf numFmtId="0" fontId="0" fillId="0" borderId="11" xfId="79" applyFont="1" applyFill="1" applyBorder="1">
      <alignment/>
      <protection/>
    </xf>
    <xf numFmtId="4" fontId="0" fillId="0" borderId="11" xfId="79" applyNumberFormat="1" applyFont="1" applyBorder="1">
      <alignment/>
      <protection/>
    </xf>
    <xf numFmtId="4" fontId="5" fillId="0" borderId="16" xfId="79" applyNumberFormat="1" applyFont="1" applyBorder="1" applyAlignment="1">
      <alignment horizontal="center" wrapText="1"/>
      <protection/>
    </xf>
    <xf numFmtId="0" fontId="3" fillId="4"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23" xfId="0" applyNumberFormat="1" applyFont="1" applyFill="1" applyBorder="1" applyAlignment="1" applyProtection="1">
      <alignment horizontal="center" vertical="center" wrapText="1"/>
      <protection/>
    </xf>
    <xf numFmtId="0" fontId="30" fillId="0" borderId="24"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13" fillId="0" borderId="25"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justify" vertical="center" wrapText="1"/>
    </xf>
    <xf numFmtId="0" fontId="38" fillId="0" borderId="11" xfId="0" applyNumberFormat="1" applyFont="1" applyFill="1" applyBorder="1" applyAlignment="1">
      <alignment horizontal="left" vertical="center" wrapText="1"/>
    </xf>
    <xf numFmtId="0" fontId="31"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0" fontId="13" fillId="0" borderId="16"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0" fontId="5" fillId="0" borderId="27" xfId="79" applyFont="1" applyBorder="1" applyAlignment="1">
      <alignment horizontal="center" wrapText="1"/>
      <protection/>
    </xf>
    <xf numFmtId="0" fontId="5" fillId="0" borderId="28" xfId="79" applyFont="1" applyBorder="1" applyAlignment="1">
      <alignment horizontal="center" wrapText="1"/>
      <protection/>
    </xf>
    <xf numFmtId="0" fontId="5" fillId="0" borderId="20" xfId="79" applyFont="1" applyBorder="1" applyAlignment="1">
      <alignment horizontal="center" wrapText="1"/>
      <protection/>
    </xf>
    <xf numFmtId="0" fontId="25" fillId="0" borderId="0" xfId="79" applyFont="1" applyAlignment="1">
      <alignment horizontal="left"/>
      <protection/>
    </xf>
    <xf numFmtId="0" fontId="20" fillId="0" borderId="0" xfId="79" applyFont="1" applyAlignment="1">
      <alignment horizontal="center"/>
      <protection/>
    </xf>
    <xf numFmtId="0" fontId="20" fillId="0" borderId="0" xfId="79" applyFont="1" applyAlignment="1">
      <alignment horizontal="center" wrapText="1"/>
      <protection/>
    </xf>
    <xf numFmtId="0" fontId="13" fillId="0" borderId="11" xfId="0" applyFont="1" applyBorder="1" applyAlignment="1">
      <alignment horizontal="center" vertical="center" wrapText="1"/>
    </xf>
    <xf numFmtId="0" fontId="5" fillId="0" borderId="11" xfId="79" applyFont="1" applyBorder="1" applyAlignment="1">
      <alignment horizontal="center" vertical="center"/>
      <protection/>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6 із заборг" xfId="78"/>
    <cellStyle name="Обычный_дод 8 до бюджету 2012"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инансовый_дод 8 до бюджету 2012" xfId="89"/>
    <cellStyle name="Хороший" xfId="90"/>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43"/>
      <c r="C1" s="243"/>
      <c r="D1" s="243"/>
      <c r="E1" s="243"/>
      <c r="F1" s="243"/>
      <c r="G1" s="243"/>
      <c r="H1" s="243"/>
      <c r="I1" s="243"/>
      <c r="J1" s="243"/>
      <c r="K1" s="243"/>
      <c r="L1" s="243"/>
      <c r="M1" s="243"/>
      <c r="N1" s="243"/>
      <c r="O1" s="243"/>
      <c r="P1" s="243"/>
      <c r="Q1" s="243"/>
      <c r="R1" s="243"/>
      <c r="S1" s="243"/>
      <c r="T1" s="243"/>
      <c r="U1" s="243"/>
      <c r="V1" s="243"/>
      <c r="W1" s="243"/>
    </row>
    <row r="2" spans="1:24" s="42" customFormat="1" ht="66" customHeight="1">
      <c r="A2" s="48"/>
      <c r="B2" s="48"/>
      <c r="C2" s="2"/>
      <c r="D2" s="48"/>
      <c r="E2" s="48"/>
      <c r="F2" s="48"/>
      <c r="G2" s="46"/>
      <c r="H2" s="1"/>
      <c r="I2" s="1"/>
      <c r="J2" s="1"/>
      <c r="K2" s="1"/>
      <c r="L2" s="1"/>
      <c r="M2" s="1"/>
      <c r="N2" s="46"/>
      <c r="O2" s="1"/>
      <c r="P2" s="1"/>
      <c r="Q2" s="1"/>
      <c r="R2" s="1"/>
      <c r="S2" s="244" t="s">
        <v>387</v>
      </c>
      <c r="T2" s="244"/>
      <c r="U2" s="244"/>
      <c r="V2" s="244"/>
      <c r="W2" s="244"/>
      <c r="X2" s="244"/>
    </row>
    <row r="3" spans="1:23" s="4" customFormat="1" ht="45" customHeight="1">
      <c r="A3" s="48"/>
      <c r="B3" s="245" t="s">
        <v>102</v>
      </c>
      <c r="C3" s="245"/>
      <c r="D3" s="246"/>
      <c r="E3" s="246"/>
      <c r="F3" s="246"/>
      <c r="G3" s="246"/>
      <c r="H3" s="246"/>
      <c r="I3" s="246"/>
      <c r="J3" s="246"/>
      <c r="K3" s="246"/>
      <c r="L3" s="246"/>
      <c r="M3" s="246"/>
      <c r="N3" s="246"/>
      <c r="O3" s="246"/>
      <c r="P3" s="246"/>
      <c r="Q3" s="246"/>
      <c r="R3" s="246"/>
      <c r="S3" s="246"/>
      <c r="T3" s="246"/>
      <c r="U3" s="246"/>
      <c r="V3" s="246"/>
      <c r="W3" s="246"/>
    </row>
    <row r="4" spans="1:23" s="42" customFormat="1" ht="18.75">
      <c r="A4" s="5"/>
      <c r="B4" s="15"/>
      <c r="C4" s="113"/>
      <c r="D4" s="61"/>
      <c r="E4" s="61"/>
      <c r="F4" s="61"/>
      <c r="G4" s="47"/>
      <c r="H4" s="6"/>
      <c r="I4" s="62"/>
      <c r="J4" s="62"/>
      <c r="K4" s="62"/>
      <c r="L4" s="61"/>
      <c r="M4" s="61"/>
      <c r="N4" s="3"/>
      <c r="O4" s="7"/>
      <c r="P4" s="7"/>
      <c r="Q4" s="7"/>
      <c r="R4" s="7"/>
      <c r="S4" s="7"/>
      <c r="T4" s="7"/>
      <c r="U4" s="7"/>
      <c r="V4" s="7"/>
      <c r="W4" s="78" t="s">
        <v>519</v>
      </c>
    </row>
    <row r="5" spans="1:23" s="42" customFormat="1" ht="21.75" customHeight="1">
      <c r="A5" s="63"/>
      <c r="B5" s="247" t="s">
        <v>22</v>
      </c>
      <c r="C5" s="250" t="s">
        <v>103</v>
      </c>
      <c r="D5" s="250" t="s">
        <v>516</v>
      </c>
      <c r="E5" s="253" t="s">
        <v>507</v>
      </c>
      <c r="F5" s="254" t="s">
        <v>121</v>
      </c>
      <c r="G5" s="265" t="s">
        <v>498</v>
      </c>
      <c r="H5" s="265"/>
      <c r="I5" s="265"/>
      <c r="J5" s="265"/>
      <c r="K5" s="265"/>
      <c r="L5" s="265"/>
      <c r="M5" s="265"/>
      <c r="N5" s="259" t="s">
        <v>499</v>
      </c>
      <c r="O5" s="260"/>
      <c r="P5" s="260"/>
      <c r="Q5" s="260"/>
      <c r="R5" s="260"/>
      <c r="S5" s="260"/>
      <c r="T5" s="260"/>
      <c r="U5" s="260"/>
      <c r="V5" s="261"/>
      <c r="W5" s="256" t="s">
        <v>500</v>
      </c>
    </row>
    <row r="6" spans="1:23" s="42" customFormat="1" ht="16.5" customHeight="1">
      <c r="A6" s="64"/>
      <c r="B6" s="248"/>
      <c r="C6" s="251"/>
      <c r="D6" s="251"/>
      <c r="E6" s="253"/>
      <c r="F6" s="255"/>
      <c r="G6" s="239" t="s">
        <v>501</v>
      </c>
      <c r="H6" s="240" t="s">
        <v>502</v>
      </c>
      <c r="I6" s="255" t="s">
        <v>503</v>
      </c>
      <c r="J6" s="255"/>
      <c r="K6" s="255"/>
      <c r="L6" s="255"/>
      <c r="M6" s="240" t="s">
        <v>504</v>
      </c>
      <c r="N6" s="262" t="s">
        <v>501</v>
      </c>
      <c r="O6" s="240" t="s">
        <v>502</v>
      </c>
      <c r="P6" s="255" t="s">
        <v>503</v>
      </c>
      <c r="Q6" s="255"/>
      <c r="R6" s="255"/>
      <c r="S6" s="255"/>
      <c r="T6" s="240" t="s">
        <v>504</v>
      </c>
      <c r="U6" s="263" t="s">
        <v>503</v>
      </c>
      <c r="V6" s="264"/>
      <c r="W6" s="256"/>
    </row>
    <row r="7" spans="1:23" s="42" customFormat="1" ht="20.25" customHeight="1">
      <c r="A7" s="65"/>
      <c r="B7" s="248"/>
      <c r="C7" s="251"/>
      <c r="D7" s="251"/>
      <c r="E7" s="253"/>
      <c r="F7" s="255"/>
      <c r="G7" s="239"/>
      <c r="H7" s="240"/>
      <c r="I7" s="255" t="s">
        <v>25</v>
      </c>
      <c r="J7" s="257" t="s">
        <v>365</v>
      </c>
      <c r="K7" s="257" t="s">
        <v>366</v>
      </c>
      <c r="L7" s="255" t="s">
        <v>505</v>
      </c>
      <c r="M7" s="240"/>
      <c r="N7" s="262"/>
      <c r="O7" s="240"/>
      <c r="P7" s="255" t="s">
        <v>25</v>
      </c>
      <c r="Q7" s="257" t="s">
        <v>365</v>
      </c>
      <c r="R7" s="257" t="s">
        <v>366</v>
      </c>
      <c r="S7" s="255" t="s">
        <v>505</v>
      </c>
      <c r="T7" s="240"/>
      <c r="U7" s="255" t="s">
        <v>512</v>
      </c>
      <c r="V7" s="34" t="s">
        <v>503</v>
      </c>
      <c r="W7" s="256"/>
    </row>
    <row r="8" spans="1:23" s="42" customFormat="1" ht="114.75" customHeight="1">
      <c r="A8" s="66"/>
      <c r="B8" s="249"/>
      <c r="C8" s="252"/>
      <c r="D8" s="252"/>
      <c r="E8" s="253"/>
      <c r="F8" s="255"/>
      <c r="G8" s="239"/>
      <c r="H8" s="240"/>
      <c r="I8" s="255"/>
      <c r="J8" s="258"/>
      <c r="K8" s="258"/>
      <c r="L8" s="255"/>
      <c r="M8" s="240"/>
      <c r="N8" s="262"/>
      <c r="O8" s="240"/>
      <c r="P8" s="255"/>
      <c r="Q8" s="258"/>
      <c r="R8" s="258"/>
      <c r="S8" s="255"/>
      <c r="T8" s="240"/>
      <c r="U8" s="255"/>
      <c r="V8" s="34" t="s">
        <v>369</v>
      </c>
      <c r="W8" s="256"/>
    </row>
    <row r="9" spans="1:23" s="68" customFormat="1" ht="28.5" customHeight="1">
      <c r="A9" s="67"/>
      <c r="B9" s="16" t="s">
        <v>510</v>
      </c>
      <c r="C9" s="21" t="s">
        <v>104</v>
      </c>
      <c r="D9" s="21"/>
      <c r="E9" s="21"/>
      <c r="F9" s="22" t="s">
        <v>520</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510</v>
      </c>
      <c r="C10" s="21" t="s">
        <v>105</v>
      </c>
      <c r="D10" s="21"/>
      <c r="E10" s="21"/>
      <c r="F10" s="22" t="s">
        <v>520</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517</v>
      </c>
      <c r="C11" s="17" t="s">
        <v>106</v>
      </c>
      <c r="D11" s="17" t="s">
        <v>511</v>
      </c>
      <c r="E11" s="17" t="s">
        <v>506</v>
      </c>
      <c r="F11" s="12" t="s">
        <v>174</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508</v>
      </c>
      <c r="C12" s="17" t="s">
        <v>108</v>
      </c>
      <c r="D12" s="17" t="s">
        <v>525</v>
      </c>
      <c r="E12" s="17" t="s">
        <v>26</v>
      </c>
      <c r="F12" s="20" t="s">
        <v>176</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107</v>
      </c>
      <c r="D13" s="17" t="s">
        <v>524</v>
      </c>
      <c r="E13" s="17" t="s">
        <v>24</v>
      </c>
      <c r="F13" s="20" t="s">
        <v>175</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72</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109</v>
      </c>
      <c r="D15" s="17" t="s">
        <v>27</v>
      </c>
      <c r="E15" s="17" t="s">
        <v>28</v>
      </c>
      <c r="F15" s="20" t="s">
        <v>177</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259</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110</v>
      </c>
      <c r="D17" s="17" t="s">
        <v>529</v>
      </c>
      <c r="E17" s="17" t="s">
        <v>29</v>
      </c>
      <c r="F17" s="20" t="s">
        <v>4</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58</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59</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60</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61</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232</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62</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111</v>
      </c>
      <c r="D24" s="21"/>
      <c r="E24" s="21"/>
      <c r="F24" s="22" t="s">
        <v>112</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113</v>
      </c>
      <c r="D25" s="21"/>
      <c r="E25" s="21"/>
      <c r="F25" s="22" t="s">
        <v>112</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517</v>
      </c>
      <c r="C26" s="17" t="s">
        <v>114</v>
      </c>
      <c r="D26" s="17" t="s">
        <v>511</v>
      </c>
      <c r="E26" s="17" t="s">
        <v>506</v>
      </c>
      <c r="F26" s="12" t="s">
        <v>174</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115</v>
      </c>
      <c r="D27" s="21"/>
      <c r="E27" s="21"/>
      <c r="F27" s="22" t="s">
        <v>530</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115</v>
      </c>
      <c r="D28" s="21"/>
      <c r="E28" s="21"/>
      <c r="F28" s="22" t="s">
        <v>530</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517</v>
      </c>
      <c r="C29" s="17" t="s">
        <v>116</v>
      </c>
      <c r="D29" s="17" t="s">
        <v>511</v>
      </c>
      <c r="E29" s="17" t="s">
        <v>506</v>
      </c>
      <c r="F29" s="12" t="s">
        <v>174</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117</v>
      </c>
      <c r="D30" s="16" t="s">
        <v>531</v>
      </c>
      <c r="E30" s="16"/>
      <c r="F30" s="10" t="s">
        <v>532</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467</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468</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469</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118</v>
      </c>
      <c r="D34" s="17" t="s">
        <v>533</v>
      </c>
      <c r="E34" s="17" t="s">
        <v>30</v>
      </c>
      <c r="F34" s="20" t="s">
        <v>178</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466</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534</v>
      </c>
      <c r="E36" s="17" t="s">
        <v>31</v>
      </c>
      <c r="F36" s="20" t="s">
        <v>179</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467</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468</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469</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535</v>
      </c>
      <c r="E40" s="17" t="s">
        <v>32</v>
      </c>
      <c r="F40" s="20" t="s">
        <v>180</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470</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521</v>
      </c>
      <c r="E42" s="17" t="s">
        <v>30</v>
      </c>
      <c r="F42" s="20" t="s">
        <v>281</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536</v>
      </c>
      <c r="E43" s="17" t="s">
        <v>282</v>
      </c>
      <c r="F43" s="20" t="s">
        <v>283</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537</v>
      </c>
      <c r="E44" s="17" t="s">
        <v>284</v>
      </c>
      <c r="F44" s="20" t="s">
        <v>181</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538</v>
      </c>
      <c r="E45" s="17" t="s">
        <v>285</v>
      </c>
      <c r="F45" s="20" t="s">
        <v>182</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539</v>
      </c>
      <c r="E46" s="17" t="s">
        <v>286</v>
      </c>
      <c r="F46" s="20" t="s">
        <v>183</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540</v>
      </c>
      <c r="E47" s="17" t="s">
        <v>286</v>
      </c>
      <c r="F47" s="20" t="s">
        <v>184</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541</v>
      </c>
      <c r="E48" s="17" t="s">
        <v>287</v>
      </c>
      <c r="F48" s="20" t="s">
        <v>185</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542</v>
      </c>
      <c r="E49" s="17" t="s">
        <v>287</v>
      </c>
      <c r="F49" s="20" t="s">
        <v>186</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543</v>
      </c>
      <c r="E50" s="17" t="s">
        <v>287</v>
      </c>
      <c r="F50" s="20" t="s">
        <v>187</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522</v>
      </c>
      <c r="E51" s="16"/>
      <c r="F51" s="10" t="s">
        <v>523</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288</v>
      </c>
      <c r="E52" s="17" t="s">
        <v>289</v>
      </c>
      <c r="F52" s="20" t="s">
        <v>188</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290</v>
      </c>
      <c r="E53" s="17" t="s">
        <v>289</v>
      </c>
      <c r="F53" s="20" t="s">
        <v>189</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291</v>
      </c>
      <c r="E54" s="17" t="s">
        <v>289</v>
      </c>
      <c r="F54" s="20" t="s">
        <v>190</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293</v>
      </c>
      <c r="E55" s="17" t="s">
        <v>289</v>
      </c>
      <c r="F55" s="20" t="s">
        <v>191</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292</v>
      </c>
      <c r="E56" s="17" t="s">
        <v>289</v>
      </c>
      <c r="F56" s="20" t="s">
        <v>4</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544</v>
      </c>
      <c r="E57" s="16"/>
      <c r="F57" s="10" t="s">
        <v>294</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295</v>
      </c>
      <c r="E58" s="17" t="s">
        <v>298</v>
      </c>
      <c r="F58" s="20" t="s">
        <v>545</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296</v>
      </c>
      <c r="E59" s="17" t="s">
        <v>299</v>
      </c>
      <c r="F59" s="20" t="s">
        <v>192</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297</v>
      </c>
      <c r="E60" s="17" t="s">
        <v>301</v>
      </c>
      <c r="F60" s="20" t="s">
        <v>300</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525</v>
      </c>
      <c r="E61" s="17" t="s">
        <v>302</v>
      </c>
      <c r="F61" s="20" t="s">
        <v>303</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546</v>
      </c>
      <c r="E62" s="16"/>
      <c r="F62" s="10" t="s">
        <v>547</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304</v>
      </c>
      <c r="E63" s="17" t="s">
        <v>308</v>
      </c>
      <c r="F63" s="20" t="s">
        <v>193</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305</v>
      </c>
      <c r="E64" s="17" t="s">
        <v>308</v>
      </c>
      <c r="F64" s="20" t="s">
        <v>194</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306</v>
      </c>
      <c r="E65" s="17" t="s">
        <v>308</v>
      </c>
      <c r="F65" s="20" t="s">
        <v>195</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307</v>
      </c>
      <c r="E66" s="17" t="s">
        <v>308</v>
      </c>
      <c r="F66" s="20" t="s">
        <v>196</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526</v>
      </c>
      <c r="E67" s="16"/>
      <c r="F67" s="10" t="s">
        <v>527</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514</v>
      </c>
      <c r="E68" s="17" t="s">
        <v>515</v>
      </c>
      <c r="F68" s="20" t="s">
        <v>197</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548</v>
      </c>
      <c r="E69" s="17" t="s">
        <v>31</v>
      </c>
      <c r="F69" s="20" t="s">
        <v>447</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549</v>
      </c>
      <c r="E70" s="17" t="s">
        <v>301</v>
      </c>
      <c r="F70" s="20" t="s">
        <v>448</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528</v>
      </c>
      <c r="E71" s="16" t="s">
        <v>515</v>
      </c>
      <c r="F71" s="10" t="s">
        <v>309</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460</v>
      </c>
      <c r="E72" s="16" t="s">
        <v>513</v>
      </c>
      <c r="F72" s="10" t="s">
        <v>449</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529</v>
      </c>
      <c r="E73" s="16" t="s">
        <v>29</v>
      </c>
      <c r="F73" s="10" t="s">
        <v>4</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459</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122</v>
      </c>
      <c r="D75" s="21"/>
      <c r="E75" s="21"/>
      <c r="F75" s="22" t="s">
        <v>550</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123</v>
      </c>
      <c r="D76" s="21"/>
      <c r="E76" s="21"/>
      <c r="F76" s="22" t="s">
        <v>119</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517</v>
      </c>
      <c r="C77" s="17" t="s">
        <v>124</v>
      </c>
      <c r="D77" s="17" t="s">
        <v>511</v>
      </c>
      <c r="E77" s="17" t="s">
        <v>506</v>
      </c>
      <c r="F77" s="12" t="s">
        <v>174</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551</v>
      </c>
      <c r="E78" s="16"/>
      <c r="F78" s="10" t="s">
        <v>23</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465</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383</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552</v>
      </c>
      <c r="E81" s="17" t="s">
        <v>310</v>
      </c>
      <c r="F81" s="20" t="s">
        <v>450</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471</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383</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553</v>
      </c>
      <c r="E84" s="17" t="s">
        <v>311</v>
      </c>
      <c r="F84" s="20" t="s">
        <v>451</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471</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554</v>
      </c>
      <c r="E86" s="17" t="s">
        <v>312</v>
      </c>
      <c r="F86" s="20" t="s">
        <v>452</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471</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1</v>
      </c>
      <c r="E88" s="17" t="s">
        <v>313</v>
      </c>
      <c r="F88" s="20" t="s">
        <v>453</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471</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2</v>
      </c>
      <c r="E90" s="17" t="s">
        <v>314</v>
      </c>
      <c r="F90" s="20" t="s">
        <v>454</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471</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78</v>
      </c>
      <c r="E92" s="17"/>
      <c r="F92" s="20" t="s">
        <v>219</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394</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526</v>
      </c>
      <c r="E94" s="16"/>
      <c r="F94" s="10" t="s">
        <v>527</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315</v>
      </c>
      <c r="E95" s="17" t="s">
        <v>310</v>
      </c>
      <c r="F95" s="20" t="s">
        <v>455</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529</v>
      </c>
      <c r="E96" s="16" t="s">
        <v>29</v>
      </c>
      <c r="F96" s="10" t="s">
        <v>4</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3</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125</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517</v>
      </c>
      <c r="C99" s="17" t="s">
        <v>126</v>
      </c>
      <c r="D99" s="17" t="s">
        <v>511</v>
      </c>
      <c r="E99" s="17" t="s">
        <v>506</v>
      </c>
      <c r="F99" s="12" t="s">
        <v>174</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127</v>
      </c>
      <c r="D100" s="17" t="s">
        <v>521</v>
      </c>
      <c r="E100" s="17" t="s">
        <v>472</v>
      </c>
      <c r="F100" s="12" t="s">
        <v>456</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74</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522</v>
      </c>
      <c r="E102" s="16"/>
      <c r="F102" s="10" t="s">
        <v>523</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74</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394</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73</v>
      </c>
      <c r="E105" s="69" t="s">
        <v>473</v>
      </c>
      <c r="F105" s="70" t="s">
        <v>457</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74</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76</v>
      </c>
      <c r="E107" s="115">
        <v>1030</v>
      </c>
      <c r="F107" s="44" t="s">
        <v>217</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74</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77</v>
      </c>
      <c r="E109" s="69" t="s">
        <v>474</v>
      </c>
      <c r="F109" s="116" t="s">
        <v>218</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74</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80</v>
      </c>
      <c r="E111" s="71">
        <v>1070</v>
      </c>
      <c r="F111" s="43" t="s">
        <v>220</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74</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90</v>
      </c>
      <c r="E113" s="71">
        <v>1060</v>
      </c>
      <c r="F113" s="43" t="s">
        <v>230</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74</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92</v>
      </c>
      <c r="E115" s="71">
        <v>1060</v>
      </c>
      <c r="F115" s="43" t="s">
        <v>93</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74</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75</v>
      </c>
      <c r="E117" s="72"/>
      <c r="F117" s="43" t="s">
        <v>458</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74</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81</v>
      </c>
      <c r="E119" s="71">
        <v>1070</v>
      </c>
      <c r="F119" s="43" t="s">
        <v>221</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74</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91</v>
      </c>
      <c r="E121" s="71">
        <v>1060</v>
      </c>
      <c r="F121" s="43" t="s">
        <v>231</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74</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97</v>
      </c>
      <c r="E123" s="71">
        <v>1060</v>
      </c>
      <c r="F123" s="43" t="s">
        <v>98</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74</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371</v>
      </c>
      <c r="E125" s="72"/>
      <c r="F125" s="43" t="s">
        <v>372</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74</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373</v>
      </c>
      <c r="E127" s="72"/>
      <c r="F127" s="43" t="s">
        <v>374</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74</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375</v>
      </c>
      <c r="E129" s="72"/>
      <c r="F129" s="43" t="s">
        <v>376</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74</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82</v>
      </c>
      <c r="E131" s="71" t="s">
        <v>475</v>
      </c>
      <c r="F131" s="43" t="s">
        <v>222</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74</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83</v>
      </c>
      <c r="E133" s="71" t="s">
        <v>475</v>
      </c>
      <c r="F133" s="43" t="s">
        <v>223</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74</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84</v>
      </c>
      <c r="E135" s="71" t="s">
        <v>475</v>
      </c>
      <c r="F135" s="43" t="s">
        <v>224</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74</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85</v>
      </c>
      <c r="E137" s="71" t="s">
        <v>475</v>
      </c>
      <c r="F137" s="43" t="s">
        <v>225</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74</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86</v>
      </c>
      <c r="E139" s="73"/>
      <c r="F139" s="43" t="s">
        <v>226</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74</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87</v>
      </c>
      <c r="E141" s="71" t="s">
        <v>475</v>
      </c>
      <c r="F141" s="43" t="s">
        <v>227</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74</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88</v>
      </c>
      <c r="E143" s="71" t="s">
        <v>475</v>
      </c>
      <c r="F143" s="43" t="s">
        <v>228</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74</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89</v>
      </c>
      <c r="E145" s="71" t="s">
        <v>475</v>
      </c>
      <c r="F145" s="43" t="s">
        <v>229</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74</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391</v>
      </c>
      <c r="E147" s="71" t="s">
        <v>356</v>
      </c>
      <c r="F147" s="43" t="s">
        <v>242</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74</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78</v>
      </c>
      <c r="E149" s="71" t="s">
        <v>474</v>
      </c>
      <c r="F149" s="45" t="s">
        <v>219</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79</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96</v>
      </c>
      <c r="E151" s="71" t="s">
        <v>356</v>
      </c>
      <c r="F151" s="43" t="s">
        <v>235</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74</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99</v>
      </c>
      <c r="E153" s="71" t="s">
        <v>473</v>
      </c>
      <c r="F153" s="43" t="s">
        <v>236</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79</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100</v>
      </c>
      <c r="E155" s="71" t="s">
        <v>357</v>
      </c>
      <c r="F155" s="75" t="s">
        <v>237</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101</v>
      </c>
      <c r="E156" s="71" t="s">
        <v>356</v>
      </c>
      <c r="F156" s="43" t="s">
        <v>238</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392</v>
      </c>
      <c r="E157" s="71" t="s">
        <v>356</v>
      </c>
      <c r="F157" s="43" t="s">
        <v>243</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79</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393</v>
      </c>
      <c r="E159" s="71" t="s">
        <v>356</v>
      </c>
      <c r="F159" s="43" t="s">
        <v>244</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79</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389</v>
      </c>
      <c r="E161" s="71">
        <v>1060</v>
      </c>
      <c r="F161" s="76" t="s">
        <v>240</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390</v>
      </c>
      <c r="E162" s="71" t="s">
        <v>473</v>
      </c>
      <c r="F162" s="76" t="s">
        <v>241</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94</v>
      </c>
      <c r="E163" s="71" t="s">
        <v>355</v>
      </c>
      <c r="F163" s="43" t="s">
        <v>95</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79</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128</v>
      </c>
      <c r="D165" s="23"/>
      <c r="E165" s="23"/>
      <c r="F165" s="22" t="s">
        <v>5</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129</v>
      </c>
      <c r="D166" s="23"/>
      <c r="E166" s="23"/>
      <c r="F166" s="22" t="s">
        <v>5</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517</v>
      </c>
      <c r="C167" s="17" t="s">
        <v>130</v>
      </c>
      <c r="D167" s="17" t="s">
        <v>511</v>
      </c>
      <c r="E167" s="17" t="s">
        <v>506</v>
      </c>
      <c r="F167" s="12" t="s">
        <v>174</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380</v>
      </c>
      <c r="D168" s="17" t="s">
        <v>377</v>
      </c>
      <c r="E168" s="17"/>
      <c r="F168" s="12" t="s">
        <v>379</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74</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381</v>
      </c>
      <c r="D170" s="17" t="s">
        <v>378</v>
      </c>
      <c r="E170" s="17"/>
      <c r="F170" s="12" t="s">
        <v>382</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74</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131</v>
      </c>
      <c r="D172" s="16" t="s">
        <v>316</v>
      </c>
      <c r="E172" s="16"/>
      <c r="F172" s="13" t="s">
        <v>317</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132</v>
      </c>
      <c r="D173" s="17" t="s">
        <v>6</v>
      </c>
      <c r="E173" s="17" t="s">
        <v>320</v>
      </c>
      <c r="F173" s="12" t="s">
        <v>245</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7</v>
      </c>
      <c r="E174" s="17" t="s">
        <v>320</v>
      </c>
      <c r="F174" s="12" t="s">
        <v>321</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133</v>
      </c>
      <c r="D175" s="17" t="s">
        <v>318</v>
      </c>
      <c r="E175" s="17" t="s">
        <v>322</v>
      </c>
      <c r="F175" s="12" t="s">
        <v>246</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134</v>
      </c>
      <c r="D176" s="17" t="s">
        <v>319</v>
      </c>
      <c r="E176" s="17" t="s">
        <v>322</v>
      </c>
      <c r="F176" s="12" t="s">
        <v>370</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526</v>
      </c>
      <c r="E177" s="16"/>
      <c r="F177" s="10" t="s">
        <v>527</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514</v>
      </c>
      <c r="E178" s="17" t="s">
        <v>358</v>
      </c>
      <c r="F178" s="20" t="s">
        <v>197</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135</v>
      </c>
      <c r="D179" s="16" t="s">
        <v>323</v>
      </c>
      <c r="E179" s="16"/>
      <c r="F179" s="13" t="s">
        <v>324</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136</v>
      </c>
      <c r="D180" s="17" t="s">
        <v>325</v>
      </c>
      <c r="E180" s="17" t="s">
        <v>326</v>
      </c>
      <c r="F180" s="12" t="s">
        <v>8</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137</v>
      </c>
      <c r="D181" s="17" t="s">
        <v>234</v>
      </c>
      <c r="E181" s="17" t="s">
        <v>359</v>
      </c>
      <c r="F181" s="12" t="s">
        <v>461</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138</v>
      </c>
      <c r="D182" s="16" t="s">
        <v>9</v>
      </c>
      <c r="E182" s="16"/>
      <c r="F182" s="13" t="s">
        <v>462</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139</v>
      </c>
      <c r="D183" s="17" t="s">
        <v>10</v>
      </c>
      <c r="E183" s="17" t="s">
        <v>327</v>
      </c>
      <c r="F183" s="12" t="s">
        <v>247</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63</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140</v>
      </c>
      <c r="D185" s="17" t="s">
        <v>11</v>
      </c>
      <c r="E185" s="17" t="s">
        <v>327</v>
      </c>
      <c r="F185" s="12" t="s">
        <v>248</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64</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144</v>
      </c>
      <c r="D187" s="16" t="s">
        <v>328</v>
      </c>
      <c r="E187" s="16"/>
      <c r="F187" s="13" t="s">
        <v>497</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145</v>
      </c>
      <c r="D188" s="17" t="s">
        <v>12</v>
      </c>
      <c r="E188" s="17" t="s">
        <v>329</v>
      </c>
      <c r="F188" s="12" t="s">
        <v>249</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146</v>
      </c>
      <c r="D189" s="17" t="s">
        <v>13</v>
      </c>
      <c r="E189" s="17" t="s">
        <v>330</v>
      </c>
      <c r="F189" s="12" t="s">
        <v>14</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147</v>
      </c>
      <c r="D190" s="17" t="s">
        <v>15</v>
      </c>
      <c r="E190" s="17" t="s">
        <v>331</v>
      </c>
      <c r="F190" s="12" t="s">
        <v>332</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148</v>
      </c>
      <c r="D191" s="17" t="s">
        <v>16</v>
      </c>
      <c r="E191" s="17" t="s">
        <v>334</v>
      </c>
      <c r="F191" s="12" t="s">
        <v>333</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149</v>
      </c>
      <c r="D192" s="21"/>
      <c r="E192" s="21"/>
      <c r="F192" s="22" t="s">
        <v>17</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150</v>
      </c>
      <c r="D193" s="21"/>
      <c r="E193" s="21"/>
      <c r="F193" s="22" t="s">
        <v>17</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517</v>
      </c>
      <c r="C194" s="17" t="s">
        <v>151</v>
      </c>
      <c r="D194" s="17" t="s">
        <v>511</v>
      </c>
      <c r="E194" s="17" t="s">
        <v>506</v>
      </c>
      <c r="F194" s="12" t="s">
        <v>174</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152</v>
      </c>
      <c r="D195" s="17" t="s">
        <v>533</v>
      </c>
      <c r="E195" s="17" t="s">
        <v>472</v>
      </c>
      <c r="F195" s="20" t="s">
        <v>179</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153</v>
      </c>
      <c r="D196" s="17" t="s">
        <v>534</v>
      </c>
      <c r="E196" s="17" t="s">
        <v>360</v>
      </c>
      <c r="F196" s="20" t="s">
        <v>199</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154</v>
      </c>
      <c r="D197" s="74" t="s">
        <v>100</v>
      </c>
      <c r="E197" s="17" t="s">
        <v>357</v>
      </c>
      <c r="F197" s="75" t="s">
        <v>237</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156</v>
      </c>
      <c r="D198" s="17" t="s">
        <v>306</v>
      </c>
      <c r="E198" s="17" t="s">
        <v>362</v>
      </c>
      <c r="F198" s="20" t="s">
        <v>250</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155</v>
      </c>
      <c r="D199" s="17" t="s">
        <v>319</v>
      </c>
      <c r="E199" s="17" t="s">
        <v>361</v>
      </c>
      <c r="F199" s="12" t="s">
        <v>370</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157</v>
      </c>
      <c r="D200" s="17" t="s">
        <v>514</v>
      </c>
      <c r="E200" s="17" t="s">
        <v>358</v>
      </c>
      <c r="F200" s="20" t="s">
        <v>197</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158</v>
      </c>
      <c r="D201" s="17" t="s">
        <v>548</v>
      </c>
      <c r="E201" s="17">
        <v>921</v>
      </c>
      <c r="F201" s="20" t="s">
        <v>251</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159</v>
      </c>
      <c r="D202" s="17" t="s">
        <v>234</v>
      </c>
      <c r="E202" s="17">
        <v>456</v>
      </c>
      <c r="F202" s="12" t="s">
        <v>461</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160</v>
      </c>
      <c r="D203" s="17" t="s">
        <v>529</v>
      </c>
      <c r="E203" s="17" t="s">
        <v>29</v>
      </c>
      <c r="F203" s="20" t="s">
        <v>4</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65</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198</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66</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509</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161</v>
      </c>
      <c r="D208" s="21"/>
      <c r="E208" s="21"/>
      <c r="F208" s="22" t="s">
        <v>18</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162</v>
      </c>
      <c r="D209" s="21"/>
      <c r="E209" s="21"/>
      <c r="F209" s="22" t="s">
        <v>18</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517</v>
      </c>
      <c r="C210" s="17" t="s">
        <v>163</v>
      </c>
      <c r="D210" s="17" t="s">
        <v>511</v>
      </c>
      <c r="E210" s="17" t="s">
        <v>506</v>
      </c>
      <c r="F210" s="12" t="s">
        <v>174</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529</v>
      </c>
      <c r="E211" s="17" t="s">
        <v>29</v>
      </c>
      <c r="F211" s="20" t="s">
        <v>4</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67</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68</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69</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70</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71</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492</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463</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460</v>
      </c>
      <c r="E219" s="16" t="s">
        <v>513</v>
      </c>
      <c r="F219" s="10" t="s">
        <v>449</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165</v>
      </c>
      <c r="D220" s="23"/>
      <c r="E220" s="23"/>
      <c r="F220" s="22" t="s">
        <v>164</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166</v>
      </c>
      <c r="D221" s="23"/>
      <c r="E221" s="23"/>
      <c r="F221" s="22" t="s">
        <v>164</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517</v>
      </c>
      <c r="C222" s="17" t="s">
        <v>167</v>
      </c>
      <c r="D222" s="17" t="s">
        <v>511</v>
      </c>
      <c r="E222" s="17" t="s">
        <v>506</v>
      </c>
      <c r="F222" s="12" t="s">
        <v>174</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169</v>
      </c>
      <c r="D223" s="17" t="s">
        <v>529</v>
      </c>
      <c r="E223" s="17" t="s">
        <v>364</v>
      </c>
      <c r="F223" s="20" t="s">
        <v>4</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464</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168</v>
      </c>
      <c r="D225" s="17" t="s">
        <v>19</v>
      </c>
      <c r="E225" s="17" t="s">
        <v>363</v>
      </c>
      <c r="F225" s="12" t="s">
        <v>335</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170</v>
      </c>
      <c r="D226" s="23"/>
      <c r="E226" s="23"/>
      <c r="F226" s="22" t="s">
        <v>20</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171</v>
      </c>
      <c r="D227" s="23"/>
      <c r="E227" s="23"/>
      <c r="F227" s="22" t="s">
        <v>20</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172</v>
      </c>
      <c r="D228" s="17" t="s">
        <v>21</v>
      </c>
      <c r="E228" s="17" t="s">
        <v>336</v>
      </c>
      <c r="F228" s="12" t="s">
        <v>337</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173</v>
      </c>
      <c r="D229" s="17" t="s">
        <v>367</v>
      </c>
      <c r="E229" s="17" t="s">
        <v>368</v>
      </c>
      <c r="F229" s="30" t="s">
        <v>252</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57</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493</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518</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41" t="s">
        <v>55</v>
      </c>
      <c r="D237" s="242"/>
      <c r="E237" s="242"/>
      <c r="F237" s="242"/>
      <c r="G237" s="242"/>
      <c r="H237" s="32"/>
      <c r="I237" s="32"/>
      <c r="J237" s="32"/>
      <c r="K237" s="32"/>
      <c r="L237" s="32"/>
      <c r="M237" s="32"/>
      <c r="N237" s="32"/>
      <c r="O237" s="32"/>
      <c r="P237" s="32"/>
      <c r="Q237" s="32"/>
      <c r="R237" s="32"/>
      <c r="S237" s="32"/>
      <c r="T237" s="32"/>
      <c r="U237" s="32"/>
      <c r="V237" s="32"/>
      <c r="W237" s="32" t="s">
        <v>56</v>
      </c>
    </row>
    <row r="238" spans="1:6" ht="12.75">
      <c r="A238" s="48"/>
      <c r="B238" s="48"/>
      <c r="D238" s="48"/>
      <c r="E238" s="48"/>
      <c r="F238" s="48"/>
    </row>
    <row r="240" ht="12.75">
      <c r="F240" s="2"/>
    </row>
  </sheetData>
  <sheetProtection/>
  <mergeCells count="30">
    <mergeCell ref="C5:C8"/>
    <mergeCell ref="P6:S6"/>
    <mergeCell ref="T6:T8"/>
    <mergeCell ref="U6:V6"/>
    <mergeCell ref="I7:I8"/>
    <mergeCell ref="J7:J8"/>
    <mergeCell ref="K7:K8"/>
    <mergeCell ref="L7:L8"/>
    <mergeCell ref="G5:M5"/>
    <mergeCell ref="I6:L6"/>
    <mergeCell ref="H6:H8"/>
    <mergeCell ref="W5:W8"/>
    <mergeCell ref="P7:P8"/>
    <mergeCell ref="Q7:Q8"/>
    <mergeCell ref="R7:R8"/>
    <mergeCell ref="S7:S8"/>
    <mergeCell ref="U7:U8"/>
    <mergeCell ref="N5:V5"/>
    <mergeCell ref="N6:N8"/>
    <mergeCell ref="O6:O8"/>
    <mergeCell ref="M6:M8"/>
    <mergeCell ref="C237:G237"/>
    <mergeCell ref="B1:W1"/>
    <mergeCell ref="S2:X2"/>
    <mergeCell ref="B3:W3"/>
    <mergeCell ref="B5:B8"/>
    <mergeCell ref="D5:D8"/>
    <mergeCell ref="E5:E8"/>
    <mergeCell ref="F5:F8"/>
    <mergeCell ref="G6:G8"/>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44" t="s">
        <v>388</v>
      </c>
      <c r="C1" s="244"/>
      <c r="D1" s="244"/>
    </row>
    <row r="2" ht="18" customHeight="1" hidden="1">
      <c r="C2" s="91"/>
    </row>
    <row r="3" spans="3:9" ht="18" customHeight="1" hidden="1">
      <c r="C3" s="91"/>
      <c r="I3" s="92"/>
    </row>
    <row r="4" ht="18" customHeight="1"/>
    <row r="5" spans="1:3" ht="56.25" customHeight="1">
      <c r="A5" s="271" t="s">
        <v>476</v>
      </c>
      <c r="B5" s="271"/>
      <c r="C5" s="271"/>
    </row>
    <row r="6" spans="1:3" ht="9" customHeight="1">
      <c r="A6" s="272"/>
      <c r="B6" s="272"/>
      <c r="C6" s="272"/>
    </row>
    <row r="7" spans="1:3" ht="49.5" customHeight="1">
      <c r="A7" s="112" t="s">
        <v>496</v>
      </c>
      <c r="B7" s="112" t="s">
        <v>477</v>
      </c>
      <c r="C7" s="112" t="s">
        <v>354</v>
      </c>
    </row>
    <row r="8" spans="1:3" ht="44.25" customHeight="1">
      <c r="A8" s="108" t="s">
        <v>478</v>
      </c>
      <c r="B8" s="94" t="s">
        <v>489</v>
      </c>
      <c r="C8" s="109" t="s">
        <v>479</v>
      </c>
    </row>
    <row r="9" spans="1:3" ht="56.25">
      <c r="A9" s="266" t="s">
        <v>480</v>
      </c>
      <c r="B9" s="267" t="s">
        <v>490</v>
      </c>
      <c r="C9" s="109" t="s">
        <v>481</v>
      </c>
    </row>
    <row r="10" spans="1:3" ht="81" customHeight="1">
      <c r="A10" s="266"/>
      <c r="B10" s="267"/>
      <c r="C10" s="109" t="s">
        <v>482</v>
      </c>
    </row>
    <row r="11" spans="1:3" ht="57.75" customHeight="1">
      <c r="A11" s="108" t="s">
        <v>483</v>
      </c>
      <c r="B11" s="94" t="s">
        <v>491</v>
      </c>
      <c r="C11" s="109" t="s">
        <v>484</v>
      </c>
    </row>
    <row r="12" spans="1:3" ht="57" customHeight="1">
      <c r="A12" s="266" t="s">
        <v>485</v>
      </c>
      <c r="B12" s="268" t="s">
        <v>488</v>
      </c>
      <c r="C12" s="110" t="s">
        <v>338</v>
      </c>
    </row>
    <row r="13" spans="1:3" ht="75" customHeight="1">
      <c r="A13" s="266"/>
      <c r="B13" s="268"/>
      <c r="C13" s="109" t="s">
        <v>340</v>
      </c>
    </row>
    <row r="14" spans="1:3" ht="54.75" customHeight="1">
      <c r="A14" s="266" t="s">
        <v>485</v>
      </c>
      <c r="B14" s="268" t="s">
        <v>341</v>
      </c>
      <c r="C14" s="110" t="s">
        <v>342</v>
      </c>
    </row>
    <row r="15" spans="1:3" ht="87.75" customHeight="1">
      <c r="A15" s="266"/>
      <c r="B15" s="268"/>
      <c r="C15" s="109" t="s">
        <v>340</v>
      </c>
    </row>
    <row r="16" spans="1:3" ht="54.75" customHeight="1">
      <c r="A16" s="266" t="s">
        <v>343</v>
      </c>
      <c r="B16" s="270" t="s">
        <v>495</v>
      </c>
      <c r="C16" s="109" t="s">
        <v>342</v>
      </c>
    </row>
    <row r="17" spans="1:3" ht="72.75" customHeight="1">
      <c r="A17" s="266"/>
      <c r="B17" s="270"/>
      <c r="C17" s="109" t="s">
        <v>482</v>
      </c>
    </row>
    <row r="18" spans="1:3" ht="45.75" customHeight="1">
      <c r="A18" s="108" t="s">
        <v>344</v>
      </c>
      <c r="B18" s="95" t="s">
        <v>345</v>
      </c>
      <c r="C18" s="109" t="s">
        <v>484</v>
      </c>
    </row>
    <row r="19" spans="1:3" ht="62.25" customHeight="1">
      <c r="A19" s="266" t="s">
        <v>346</v>
      </c>
      <c r="B19" s="270" t="s">
        <v>347</v>
      </c>
      <c r="C19" s="109" t="s">
        <v>342</v>
      </c>
    </row>
    <row r="20" spans="1:3" ht="75">
      <c r="A20" s="266"/>
      <c r="B20" s="270"/>
      <c r="C20" s="109" t="s">
        <v>482</v>
      </c>
    </row>
    <row r="21" spans="1:3" ht="37.5" hidden="1">
      <c r="A21" s="108" t="s">
        <v>348</v>
      </c>
      <c r="B21" s="95" t="s">
        <v>349</v>
      </c>
      <c r="C21" s="109"/>
    </row>
    <row r="22" spans="1:3" ht="18.75" hidden="1">
      <c r="A22" s="108"/>
      <c r="B22" s="96" t="s">
        <v>350</v>
      </c>
      <c r="C22" s="109"/>
    </row>
    <row r="23" spans="1:3" ht="56.25" hidden="1">
      <c r="A23" s="108"/>
      <c r="B23" s="97" t="s">
        <v>351</v>
      </c>
      <c r="C23" s="109" t="s">
        <v>352</v>
      </c>
    </row>
    <row r="24" spans="1:3" ht="56.25" hidden="1">
      <c r="A24" s="108"/>
      <c r="B24" s="97" t="s">
        <v>353</v>
      </c>
      <c r="C24" s="109" t="s">
        <v>352</v>
      </c>
    </row>
    <row r="25" spans="1:3" ht="37.5" hidden="1">
      <c r="A25" s="108"/>
      <c r="B25" s="97" t="s">
        <v>33</v>
      </c>
      <c r="C25" s="109" t="s">
        <v>34</v>
      </c>
    </row>
    <row r="26" spans="1:3" ht="21.75" customHeight="1" hidden="1">
      <c r="A26" s="108"/>
      <c r="B26" s="97" t="s">
        <v>350</v>
      </c>
      <c r="C26" s="109"/>
    </row>
    <row r="27" spans="1:3" ht="75" hidden="1">
      <c r="A27" s="108"/>
      <c r="B27" s="96" t="s">
        <v>35</v>
      </c>
      <c r="C27" s="109" t="s">
        <v>36</v>
      </c>
    </row>
    <row r="28" spans="1:3" ht="120.75" customHeight="1" hidden="1">
      <c r="A28" s="108"/>
      <c r="B28" s="96" t="s">
        <v>37</v>
      </c>
      <c r="C28" s="109" t="s">
        <v>38</v>
      </c>
    </row>
    <row r="29" spans="1:3" ht="60.75" customHeight="1" hidden="1">
      <c r="A29" s="108"/>
      <c r="B29" s="97" t="s">
        <v>39</v>
      </c>
      <c r="C29" s="109" t="s">
        <v>40</v>
      </c>
    </row>
    <row r="30" spans="1:3" ht="80.25" customHeight="1" hidden="1">
      <c r="A30" s="108"/>
      <c r="B30" s="97" t="s">
        <v>41</v>
      </c>
      <c r="C30" s="109" t="s">
        <v>38</v>
      </c>
    </row>
    <row r="31" spans="1:3" ht="56.25" hidden="1">
      <c r="A31" s="108"/>
      <c r="B31" s="98" t="s">
        <v>42</v>
      </c>
      <c r="C31" s="109" t="s">
        <v>44</v>
      </c>
    </row>
    <row r="32" spans="1:3" ht="56.25" hidden="1">
      <c r="A32" s="108"/>
      <c r="B32" s="99" t="s">
        <v>45</v>
      </c>
      <c r="C32" s="109" t="s">
        <v>46</v>
      </c>
    </row>
    <row r="33" spans="1:3" ht="93.75" hidden="1">
      <c r="A33" s="108"/>
      <c r="B33" s="99" t="s">
        <v>49</v>
      </c>
      <c r="C33" s="111" t="s">
        <v>50</v>
      </c>
    </row>
    <row r="34" spans="1:3" ht="75" hidden="1">
      <c r="A34" s="108" t="s">
        <v>51</v>
      </c>
      <c r="B34" s="95" t="s">
        <v>494</v>
      </c>
      <c r="C34" s="109" t="s">
        <v>34</v>
      </c>
    </row>
    <row r="35" spans="1:4" ht="55.5" customHeight="1">
      <c r="A35" s="108" t="s">
        <v>52</v>
      </c>
      <c r="B35" s="269" t="s">
        <v>53</v>
      </c>
      <c r="C35" s="110" t="s">
        <v>342</v>
      </c>
      <c r="D35" s="100"/>
    </row>
    <row r="36" spans="1:4" ht="81" customHeight="1">
      <c r="A36" s="108" t="s">
        <v>54</v>
      </c>
      <c r="B36" s="268"/>
      <c r="C36" s="109" t="s">
        <v>340</v>
      </c>
      <c r="D36" s="101"/>
    </row>
    <row r="37" spans="1:4" ht="65.25" customHeight="1">
      <c r="A37" s="102"/>
      <c r="B37" s="103"/>
      <c r="C37" s="104"/>
      <c r="D37" s="105"/>
    </row>
    <row r="38" spans="1:12" s="8" customFormat="1" ht="12.75" customHeight="1">
      <c r="A38" s="25" t="s">
        <v>55</v>
      </c>
      <c r="B38" s="26"/>
      <c r="C38" s="117" t="s">
        <v>56</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B35:B36"/>
    <mergeCell ref="B1:D1"/>
    <mergeCell ref="A14:A15"/>
    <mergeCell ref="B14:B15"/>
    <mergeCell ref="A16:A17"/>
    <mergeCell ref="B16:B17"/>
    <mergeCell ref="A19:A20"/>
    <mergeCell ref="B19:B20"/>
    <mergeCell ref="A5:C5"/>
    <mergeCell ref="A6:C6"/>
    <mergeCell ref="A9:A10"/>
    <mergeCell ref="B9:B10"/>
    <mergeCell ref="A12:A13"/>
    <mergeCell ref="B12:B13"/>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AA93"/>
  <sheetViews>
    <sheetView tabSelected="1" view="pageBreakPreview" zoomScale="75" zoomScaleNormal="75" zoomScaleSheetLayoutView="75" zoomScalePageLayoutView="0" workbookViewId="0" topLeftCell="A4">
      <pane xSplit="3" ySplit="3" topLeftCell="D64" activePane="bottomRight" state="frozen"/>
      <selection pane="topLeft" activeCell="A4" sqref="A4"/>
      <selection pane="topRight" activeCell="D4" sqref="D4"/>
      <selection pane="bottomLeft" activeCell="A7" sqref="A7"/>
      <selection pane="bottomRight" activeCell="N4" sqref="N1:AA16384"/>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8" width="24.33203125" style="128" customWidth="1"/>
    <col min="9" max="9" width="22.66015625" style="128" hidden="1" customWidth="1"/>
    <col min="10" max="11" width="22.5" style="128" hidden="1" customWidth="1"/>
    <col min="12" max="13" width="24.5" style="128" customWidth="1"/>
    <col min="14" max="14" width="20.66015625" style="128" hidden="1" customWidth="1"/>
    <col min="15" max="15" width="20.33203125" style="128" hidden="1" customWidth="1"/>
    <col min="16" max="16" width="19.33203125" style="128" hidden="1" customWidth="1"/>
    <col min="17" max="17" width="19.5" style="128" hidden="1" customWidth="1"/>
    <col min="18" max="18" width="20.83203125" style="128" hidden="1" customWidth="1"/>
    <col min="19" max="19" width="20.5" style="128" hidden="1" customWidth="1"/>
    <col min="20" max="20" width="18.83203125" style="128" hidden="1" customWidth="1"/>
    <col min="21" max="21" width="20.83203125" style="128" hidden="1" customWidth="1"/>
    <col min="22" max="22" width="20.66015625" style="128" hidden="1" customWidth="1"/>
    <col min="23" max="23" width="19.5" style="128" hidden="1" customWidth="1"/>
    <col min="24" max="24" width="20.5" style="128" hidden="1" customWidth="1"/>
    <col min="25" max="25" width="18.83203125" style="128" hidden="1" customWidth="1"/>
    <col min="26" max="26" width="22.16015625" style="128" hidden="1" customWidth="1"/>
    <col min="27" max="27" width="14.16015625" style="128" hidden="1" customWidth="1"/>
    <col min="28" max="16384" width="9.33203125" style="128" customWidth="1"/>
  </cols>
  <sheetData>
    <row r="1" spans="1:13" ht="26.25" customHeight="1">
      <c r="A1" s="282" t="s">
        <v>208</v>
      </c>
      <c r="B1" s="282"/>
      <c r="C1" s="282"/>
      <c r="D1" s="282"/>
      <c r="E1" s="282"/>
      <c r="F1" s="282"/>
      <c r="G1" s="282"/>
      <c r="H1" s="282"/>
      <c r="I1" s="190"/>
      <c r="J1" s="190"/>
      <c r="K1" s="190"/>
      <c r="L1" s="190"/>
      <c r="M1" s="190"/>
    </row>
    <row r="2" spans="1:13" ht="28.5" customHeight="1">
      <c r="A2" s="283" t="s">
        <v>209</v>
      </c>
      <c r="B2" s="283"/>
      <c r="C2" s="283"/>
      <c r="D2" s="283"/>
      <c r="E2" s="283"/>
      <c r="F2" s="283"/>
      <c r="G2" s="283"/>
      <c r="H2" s="283"/>
      <c r="I2" s="191"/>
      <c r="J2" s="191"/>
      <c r="K2" s="191"/>
      <c r="L2" s="191"/>
      <c r="M2" s="191"/>
    </row>
    <row r="3" spans="3:13" ht="18.75">
      <c r="C3" s="146"/>
      <c r="D3" s="129"/>
      <c r="E3" s="147"/>
      <c r="G3" s="148" t="s">
        <v>210</v>
      </c>
      <c r="L3" s="208"/>
      <c r="M3" s="211"/>
    </row>
    <row r="4" spans="1:22" ht="18.75">
      <c r="A4" s="285" t="s">
        <v>200</v>
      </c>
      <c r="B4" s="156"/>
      <c r="C4" s="285" t="s">
        <v>202</v>
      </c>
      <c r="D4" s="284" t="s">
        <v>203</v>
      </c>
      <c r="E4" s="284" t="s">
        <v>498</v>
      </c>
      <c r="F4" s="284" t="s">
        <v>499</v>
      </c>
      <c r="G4" s="132" t="s">
        <v>503</v>
      </c>
      <c r="H4" s="273" t="s">
        <v>43</v>
      </c>
      <c r="I4" s="273" t="s">
        <v>47</v>
      </c>
      <c r="J4" s="273" t="s">
        <v>486</v>
      </c>
      <c r="K4" s="273" t="s">
        <v>487</v>
      </c>
      <c r="L4" s="274" t="s">
        <v>48</v>
      </c>
      <c r="M4" s="212"/>
      <c r="T4" s="184" t="s">
        <v>443</v>
      </c>
      <c r="U4" s="180" t="s">
        <v>444</v>
      </c>
      <c r="V4" s="182" t="s">
        <v>445</v>
      </c>
    </row>
    <row r="5" spans="1:26" ht="75.75" customHeight="1">
      <c r="A5" s="285"/>
      <c r="B5" s="9" t="s">
        <v>201</v>
      </c>
      <c r="C5" s="285"/>
      <c r="D5" s="284"/>
      <c r="E5" s="284"/>
      <c r="F5" s="284"/>
      <c r="G5" s="149" t="s">
        <v>512</v>
      </c>
      <c r="H5" s="273"/>
      <c r="I5" s="273"/>
      <c r="J5" s="273"/>
      <c r="K5" s="273"/>
      <c r="L5" s="275"/>
      <c r="M5" s="219"/>
      <c r="N5" s="159" t="s">
        <v>384</v>
      </c>
      <c r="O5" s="186" t="s">
        <v>432</v>
      </c>
      <c r="P5" s="186" t="s">
        <v>433</v>
      </c>
      <c r="Q5" s="186" t="s">
        <v>434</v>
      </c>
      <c r="R5" s="186" t="s">
        <v>435</v>
      </c>
      <c r="S5" s="186" t="s">
        <v>436</v>
      </c>
      <c r="T5" s="186" t="s">
        <v>437</v>
      </c>
      <c r="U5" s="186" t="s">
        <v>438</v>
      </c>
      <c r="V5" s="186" t="s">
        <v>439</v>
      </c>
      <c r="W5" s="186" t="s">
        <v>440</v>
      </c>
      <c r="X5" s="186" t="s">
        <v>441</v>
      </c>
      <c r="Y5" s="186" t="s">
        <v>442</v>
      </c>
      <c r="Z5" s="186" t="s">
        <v>500</v>
      </c>
    </row>
    <row r="6" spans="1:14" s="131" customFormat="1" ht="25.5" customHeight="1">
      <c r="A6" s="276" t="s">
        <v>211</v>
      </c>
      <c r="B6" s="277"/>
      <c r="C6" s="277"/>
      <c r="D6" s="277"/>
      <c r="E6" s="277"/>
      <c r="F6" s="277"/>
      <c r="G6" s="277"/>
      <c r="H6" s="277"/>
      <c r="I6" s="278"/>
      <c r="J6" s="278"/>
      <c r="K6" s="278"/>
      <c r="L6" s="279"/>
      <c r="M6" s="213"/>
      <c r="N6" s="228"/>
    </row>
    <row r="7" spans="1:26" ht="37.5" customHeight="1">
      <c r="A7" s="150">
        <v>1</v>
      </c>
      <c r="B7" s="169"/>
      <c r="C7" s="151" t="s">
        <v>212</v>
      </c>
      <c r="D7" s="152">
        <f>D8+D16</f>
        <v>41151689.86</v>
      </c>
      <c r="E7" s="152">
        <f>E8+E16</f>
        <v>14950000</v>
      </c>
      <c r="F7" s="152">
        <f>F8+F16</f>
        <v>26201689.86</v>
      </c>
      <c r="G7" s="152">
        <f>G8+G16</f>
        <v>22523010.71</v>
      </c>
      <c r="H7" s="175">
        <f>H8+H16</f>
        <v>25059261.43</v>
      </c>
      <c r="I7" s="175">
        <f>I9+I12</f>
        <v>8436269.2</v>
      </c>
      <c r="J7" s="233"/>
      <c r="K7" s="233"/>
      <c r="L7" s="227">
        <f>H7/(O7+P7+Q7+R7+S7+T7+U7+V7+W7+X7)*100</f>
        <v>61.99410028744533</v>
      </c>
      <c r="M7" s="218"/>
      <c r="N7" s="220">
        <f>O7+P7+Q7+R7+S7+T7+U7+V7+W7+X7-H7</f>
        <v>15362748.589999996</v>
      </c>
      <c r="O7" s="192">
        <f>O8+O16</f>
        <v>1686888.87</v>
      </c>
      <c r="P7" s="152">
        <f aca="true" t="shared" si="0" ref="P7:Y7">P8+P16</f>
        <v>450000</v>
      </c>
      <c r="Q7" s="152">
        <f t="shared" si="0"/>
        <v>1900000</v>
      </c>
      <c r="R7" s="152">
        <f t="shared" si="0"/>
        <v>4100000</v>
      </c>
      <c r="S7" s="152">
        <f t="shared" si="0"/>
        <v>2338773.65</v>
      </c>
      <c r="T7" s="152">
        <f t="shared" si="0"/>
        <v>3700000</v>
      </c>
      <c r="U7" s="152">
        <f t="shared" si="0"/>
        <v>5326000</v>
      </c>
      <c r="V7" s="152">
        <f>V8+V16</f>
        <v>13085180.79</v>
      </c>
      <c r="W7" s="152">
        <f t="shared" si="0"/>
        <v>6295261.21</v>
      </c>
      <c r="X7" s="152">
        <f t="shared" si="0"/>
        <v>1539905.5</v>
      </c>
      <c r="Y7" s="152">
        <f t="shared" si="0"/>
        <v>729679.8400000001</v>
      </c>
      <c r="Z7" s="152">
        <f>Z8+Z16</f>
        <v>41151689.86</v>
      </c>
    </row>
    <row r="8" spans="1:26" ht="18.75">
      <c r="A8" s="133" t="s">
        <v>204</v>
      </c>
      <c r="B8" s="134"/>
      <c r="C8" s="153" t="s">
        <v>213</v>
      </c>
      <c r="D8" s="154">
        <f>D9+D13+D14+D12+D15</f>
        <v>16761567.559999999</v>
      </c>
      <c r="E8" s="154">
        <f>E9+E13+E14+E12+E15</f>
        <v>14950000</v>
      </c>
      <c r="F8" s="154">
        <f>F9+F13+F14+F12+F15</f>
        <v>1811567.56</v>
      </c>
      <c r="G8" s="154"/>
      <c r="H8" s="154">
        <f>H9+H13+H14+H12+H15</f>
        <v>10247836.76</v>
      </c>
      <c r="I8" s="203"/>
      <c r="J8" s="234"/>
      <c r="K8" s="234"/>
      <c r="L8" s="214">
        <f>H8/(O8+P8+Q8+R8+S8+T8+U8+V8+W8+X8)*100</f>
        <v>63.40868063666962</v>
      </c>
      <c r="M8" s="215"/>
      <c r="N8" s="220">
        <f aca="true" t="shared" si="1" ref="N8:N71">O8+P8+Q8+R8+S8+T8+U8+V8+W8+X8-H8</f>
        <v>5913730.800000001</v>
      </c>
      <c r="O8" s="193">
        <f>O9+O12+O13+O14</f>
        <v>450000</v>
      </c>
      <c r="P8" s="183">
        <f>P9+P12+P13+P14</f>
        <v>450000</v>
      </c>
      <c r="Q8" s="183">
        <f aca="true" t="shared" si="2" ref="Q8:X8">Q9+Q12+Q13+Q14</f>
        <v>900000</v>
      </c>
      <c r="R8" s="183">
        <f>R9+R12+R13+R14</f>
        <v>950000</v>
      </c>
      <c r="S8" s="183">
        <f t="shared" si="2"/>
        <v>950000</v>
      </c>
      <c r="T8" s="183">
        <f t="shared" si="2"/>
        <v>350000</v>
      </c>
      <c r="U8" s="183">
        <f t="shared" si="2"/>
        <v>2250000</v>
      </c>
      <c r="V8" s="183">
        <f t="shared" si="2"/>
        <v>4350000</v>
      </c>
      <c r="W8" s="183">
        <f>W9+W12+W13+W14+W15</f>
        <v>4300000</v>
      </c>
      <c r="X8" s="183">
        <f t="shared" si="2"/>
        <v>1211567.56</v>
      </c>
      <c r="Y8" s="183">
        <f>Y9+Y12+Y13+Y14</f>
        <v>600000</v>
      </c>
      <c r="Z8" s="183">
        <f>Z9+Z12+Z13+Z14+Z15</f>
        <v>16761567.56</v>
      </c>
    </row>
    <row r="9" spans="1:26" ht="37.5">
      <c r="A9" s="133"/>
      <c r="B9" s="134"/>
      <c r="C9" s="135" t="s">
        <v>339</v>
      </c>
      <c r="D9" s="155">
        <f>F9+E9</f>
        <v>4192197.8899999997</v>
      </c>
      <c r="E9" s="155">
        <v>2500000</v>
      </c>
      <c r="F9" s="155">
        <f>1700000-7802.11</f>
        <v>1692197.89</v>
      </c>
      <c r="G9" s="235"/>
      <c r="H9" s="204">
        <f>145975.7+110885.5+10080+85250+418006.2+59549+45060.24+257580+19173.6+27739.2+228900+128332.85+24200+90350+637477.5+41115.6+3379.2+164649.5+344569.5+247500+42901+262819.24+109322+288474.5</f>
        <v>3793290.33</v>
      </c>
      <c r="I9" s="222">
        <f>637477.5+3379.2+164649.5+344569.5+247500+42901+262819.24+109322+288474.5</f>
        <v>2101092.44</v>
      </c>
      <c r="J9" s="222"/>
      <c r="K9" s="222">
        <f>145975.7+110885.5+10080+85250+418006.2+104609.24+257580+46912.8+228900+128332.85+24200+90350+41115.6</f>
        <v>1692197.8900000004</v>
      </c>
      <c r="L9" s="209">
        <f>H9/(O9+P9+Q9+R9+S9+T9+U9+V9+W9+X9)*100</f>
        <v>90.48452457476905</v>
      </c>
      <c r="M9" s="216"/>
      <c r="N9" s="221">
        <f t="shared" si="1"/>
        <v>398907.56000000006</v>
      </c>
      <c r="O9" s="210"/>
      <c r="P9" s="181"/>
      <c r="Q9" s="179">
        <v>500000</v>
      </c>
      <c r="R9" s="179">
        <v>600000</v>
      </c>
      <c r="S9" s="179">
        <v>600000</v>
      </c>
      <c r="T9" s="181"/>
      <c r="U9" s="230">
        <v>1200000</v>
      </c>
      <c r="V9" s="230">
        <v>800000</v>
      </c>
      <c r="W9" s="230">
        <v>500000</v>
      </c>
      <c r="X9" s="179">
        <f>-7802.11</f>
        <v>-7802.11</v>
      </c>
      <c r="Y9" s="181"/>
      <c r="Z9" s="180">
        <f>SUM(O9:Y9)</f>
        <v>4192197.89</v>
      </c>
    </row>
    <row r="10" spans="1:26" ht="18.75" customHeight="1" hidden="1">
      <c r="A10" s="133"/>
      <c r="B10" s="134"/>
      <c r="C10" s="157" t="s">
        <v>214</v>
      </c>
      <c r="D10" s="158"/>
      <c r="E10" s="158"/>
      <c r="F10" s="158"/>
      <c r="G10" s="236"/>
      <c r="H10" s="205"/>
      <c r="I10" s="223"/>
      <c r="J10" s="223"/>
      <c r="K10" s="223"/>
      <c r="L10" s="209" t="e">
        <f aca="true" t="shared" si="3" ref="L10:L15">H10/(O10+P10+Q10+R10+S10+T10+U10+V10+W10+X10)*100</f>
        <v>#DIV/0!</v>
      </c>
      <c r="M10" s="216"/>
      <c r="N10" s="221">
        <f t="shared" si="1"/>
        <v>0</v>
      </c>
      <c r="O10" s="194"/>
      <c r="P10" s="181"/>
      <c r="Q10" s="179"/>
      <c r="R10" s="179"/>
      <c r="S10" s="179"/>
      <c r="T10" s="181"/>
      <c r="U10" s="181"/>
      <c r="V10" s="181"/>
      <c r="W10" s="181"/>
      <c r="X10" s="181"/>
      <c r="Y10" s="181"/>
      <c r="Z10" s="180"/>
    </row>
    <row r="11" spans="1:26" ht="18.75" hidden="1">
      <c r="A11" s="133"/>
      <c r="B11" s="134"/>
      <c r="C11" s="157" t="s">
        <v>272</v>
      </c>
      <c r="D11" s="158">
        <f>E11</f>
        <v>0</v>
      </c>
      <c r="E11" s="158">
        <f>3000000-2576000-424000</f>
        <v>0</v>
      </c>
      <c r="F11" s="158"/>
      <c r="G11" s="236"/>
      <c r="H11" s="205"/>
      <c r="I11" s="223"/>
      <c r="J11" s="223"/>
      <c r="K11" s="223"/>
      <c r="L11" s="209" t="e">
        <f t="shared" si="3"/>
        <v>#DIV/0!</v>
      </c>
      <c r="M11" s="216"/>
      <c r="N11" s="221">
        <f t="shared" si="1"/>
        <v>0</v>
      </c>
      <c r="O11" s="195">
        <v>250000</v>
      </c>
      <c r="P11" s="184">
        <v>350000</v>
      </c>
      <c r="Q11" s="184">
        <v>350000</v>
      </c>
      <c r="R11" s="184">
        <f>350000-1300000</f>
        <v>-950000</v>
      </c>
      <c r="S11" s="184">
        <f>350000-350000</f>
        <v>0</v>
      </c>
      <c r="T11" s="184">
        <f>350000-350000</f>
        <v>0</v>
      </c>
      <c r="U11" s="184">
        <f>350000-76000-274000</f>
        <v>0</v>
      </c>
      <c r="V11" s="184">
        <f>350000-200000-150000</f>
        <v>0</v>
      </c>
      <c r="W11" s="184">
        <f>300000-300000</f>
        <v>0</v>
      </c>
      <c r="X11" s="184"/>
      <c r="Y11" s="184"/>
      <c r="Z11" s="184">
        <f aca="true" t="shared" si="4" ref="Z11:Z74">SUM(O11:Y11)</f>
        <v>0</v>
      </c>
    </row>
    <row r="12" spans="1:26" ht="37.5">
      <c r="A12" s="133"/>
      <c r="B12" s="134"/>
      <c r="C12" s="135" t="s">
        <v>215</v>
      </c>
      <c r="D12" s="155">
        <f>E12</f>
        <v>11945000</v>
      </c>
      <c r="E12" s="155">
        <f>3500000+500000+6700000+1795000-150000-400000</f>
        <v>11945000</v>
      </c>
      <c r="F12" s="155"/>
      <c r="G12" s="236"/>
      <c r="H12" s="204">
        <f>241334.4+64578+48081+278935+170139+140867+147553+370203.6+242397.78+441136.8+89824.64+66290+315369.24+177057.6+73078.99+327937.2+193947+183970.32+540163.2+305557+89489+284612.97+203387+257573.13+84615+422595.89+90395+253263+230825</f>
        <v>6335176.76</v>
      </c>
      <c r="I12" s="204">
        <f>H12</f>
        <v>6335176.76</v>
      </c>
      <c r="J12" s="222"/>
      <c r="K12" s="222"/>
      <c r="L12" s="209">
        <f t="shared" si="3"/>
        <v>55.841134949316874</v>
      </c>
      <c r="M12" s="216"/>
      <c r="N12" s="221">
        <f t="shared" si="1"/>
        <v>5009823.24</v>
      </c>
      <c r="O12" s="195">
        <v>450000</v>
      </c>
      <c r="P12" s="184">
        <v>350000</v>
      </c>
      <c r="Q12" s="184">
        <v>350000</v>
      </c>
      <c r="R12" s="184">
        <f>350000</f>
        <v>350000</v>
      </c>
      <c r="S12" s="184">
        <v>350000</v>
      </c>
      <c r="T12" s="184">
        <v>350000</v>
      </c>
      <c r="U12" s="184">
        <f>350000+700000</f>
        <v>1050000</v>
      </c>
      <c r="V12" s="184">
        <f>350000+200000+3000000</f>
        <v>3550000</v>
      </c>
      <c r="W12" s="184">
        <f>400000+300000+2000000+595000</f>
        <v>3295000</v>
      </c>
      <c r="X12" s="184">
        <f>200000+1000000+600000-150000-400000</f>
        <v>1250000</v>
      </c>
      <c r="Y12" s="184">
        <f>600000</f>
        <v>600000</v>
      </c>
      <c r="Z12" s="185">
        <f t="shared" si="4"/>
        <v>11945000</v>
      </c>
    </row>
    <row r="13" spans="1:26" ht="18.75">
      <c r="A13" s="133"/>
      <c r="B13" s="134"/>
      <c r="C13" s="135" t="s">
        <v>216</v>
      </c>
      <c r="D13" s="155">
        <f>F13</f>
        <v>98846.55</v>
      </c>
      <c r="E13" s="136"/>
      <c r="F13" s="155">
        <f>100000-1153.45</f>
        <v>98846.55</v>
      </c>
      <c r="G13" s="235"/>
      <c r="H13" s="204">
        <v>98846.55</v>
      </c>
      <c r="I13" s="222"/>
      <c r="J13" s="222"/>
      <c r="K13" s="222"/>
      <c r="L13" s="209">
        <f t="shared" si="3"/>
        <v>100</v>
      </c>
      <c r="M13" s="216"/>
      <c r="N13" s="221">
        <f t="shared" si="1"/>
        <v>0</v>
      </c>
      <c r="O13" s="194"/>
      <c r="P13" s="179">
        <f>100000</f>
        <v>100000</v>
      </c>
      <c r="Q13" s="179">
        <f>100000-100000</f>
        <v>0</v>
      </c>
      <c r="R13" s="181"/>
      <c r="S13" s="181"/>
      <c r="T13" s="181"/>
      <c r="U13" s="181"/>
      <c r="V13" s="181"/>
      <c r="W13" s="181"/>
      <c r="X13" s="179">
        <f>-1153.45</f>
        <v>-1153.45</v>
      </c>
      <c r="Y13" s="181"/>
      <c r="Z13" s="180">
        <f t="shared" si="4"/>
        <v>98846.55</v>
      </c>
    </row>
    <row r="14" spans="1:26" ht="37.5">
      <c r="A14" s="133"/>
      <c r="B14" s="134"/>
      <c r="C14" s="135" t="s">
        <v>260</v>
      </c>
      <c r="D14" s="155">
        <f>F14</f>
        <v>20523.12</v>
      </c>
      <c r="E14" s="136"/>
      <c r="F14" s="155">
        <f>50000-29476.88</f>
        <v>20523.12</v>
      </c>
      <c r="G14" s="235"/>
      <c r="H14" s="204">
        <v>20523.12</v>
      </c>
      <c r="I14" s="222"/>
      <c r="J14" s="222"/>
      <c r="K14" s="222"/>
      <c r="L14" s="209">
        <f t="shared" si="3"/>
        <v>100</v>
      </c>
      <c r="M14" s="216"/>
      <c r="N14" s="221">
        <f t="shared" si="1"/>
        <v>0</v>
      </c>
      <c r="O14" s="194"/>
      <c r="P14" s="181"/>
      <c r="Q14" s="179">
        <v>50000</v>
      </c>
      <c r="R14" s="181"/>
      <c r="S14" s="181"/>
      <c r="T14" s="181"/>
      <c r="U14" s="181"/>
      <c r="V14" s="181"/>
      <c r="W14" s="181"/>
      <c r="X14" s="179">
        <v>-29476.88</v>
      </c>
      <c r="Y14" s="181"/>
      <c r="Z14" s="180">
        <f t="shared" si="4"/>
        <v>20523.12</v>
      </c>
    </row>
    <row r="15" spans="1:26" ht="18.75">
      <c r="A15" s="133"/>
      <c r="B15" s="134"/>
      <c r="C15" s="135" t="s">
        <v>273</v>
      </c>
      <c r="D15" s="155">
        <f>E15</f>
        <v>505000</v>
      </c>
      <c r="E15" s="136">
        <v>505000</v>
      </c>
      <c r="F15" s="155"/>
      <c r="G15" s="237"/>
      <c r="H15" s="204">
        <v>0</v>
      </c>
      <c r="I15" s="222"/>
      <c r="J15" s="222"/>
      <c r="K15" s="222"/>
      <c r="L15" s="209">
        <f t="shared" si="3"/>
        <v>0</v>
      </c>
      <c r="M15" s="216"/>
      <c r="N15" s="221">
        <f t="shared" si="1"/>
        <v>505000</v>
      </c>
      <c r="O15" s="184"/>
      <c r="P15" s="184"/>
      <c r="Q15" s="184"/>
      <c r="R15" s="184"/>
      <c r="S15" s="184"/>
      <c r="T15" s="184"/>
      <c r="U15" s="184"/>
      <c r="V15" s="184"/>
      <c r="W15" s="184">
        <v>505000</v>
      </c>
      <c r="X15" s="184"/>
      <c r="Y15" s="184"/>
      <c r="Z15" s="184">
        <f t="shared" si="4"/>
        <v>505000</v>
      </c>
    </row>
    <row r="16" spans="1:26" ht="18.75">
      <c r="A16" s="133" t="s">
        <v>205</v>
      </c>
      <c r="B16" s="134"/>
      <c r="C16" s="159" t="s">
        <v>261</v>
      </c>
      <c r="D16" s="154">
        <f>SUM(D17:D41)</f>
        <v>24390122.3</v>
      </c>
      <c r="E16" s="154"/>
      <c r="F16" s="154">
        <f>SUM(F17:F41)</f>
        <v>24390122.3</v>
      </c>
      <c r="G16" s="154">
        <f>SUM(G17:G41)</f>
        <v>22523010.71</v>
      </c>
      <c r="H16" s="154">
        <f>SUM(H17:H41)</f>
        <v>14811424.669999998</v>
      </c>
      <c r="I16" s="154"/>
      <c r="J16" s="154">
        <f>SUM(J17:J41)</f>
        <v>876400.04</v>
      </c>
      <c r="K16" s="154">
        <f>SUM(K17:K41)</f>
        <v>1627516.75</v>
      </c>
      <c r="L16" s="214">
        <f>H16/(O16+P16+Q16+R16+S16+T16+U16+V16+W16+X16)*100</f>
        <v>61.05174996054049</v>
      </c>
      <c r="M16" s="215"/>
      <c r="N16" s="220">
        <f>O16+P16+Q16+R16+S16+T16+U16+V16+W16+X16-H16</f>
        <v>9449017.790000003</v>
      </c>
      <c r="O16" s="196">
        <f>SUM(O17:O32)</f>
        <v>1236888.87</v>
      </c>
      <c r="P16" s="154">
        <f aca="true" t="shared" si="5" ref="P16:U16">SUM(P17:P32)</f>
        <v>0</v>
      </c>
      <c r="Q16" s="154">
        <f t="shared" si="5"/>
        <v>1000000</v>
      </c>
      <c r="R16" s="154">
        <f t="shared" si="5"/>
        <v>3150000</v>
      </c>
      <c r="S16" s="154">
        <f t="shared" si="5"/>
        <v>1388773.65</v>
      </c>
      <c r="T16" s="154">
        <f t="shared" si="5"/>
        <v>3350000</v>
      </c>
      <c r="U16" s="154">
        <f t="shared" si="5"/>
        <v>3076000</v>
      </c>
      <c r="V16" s="154">
        <f>SUM(V17:V41)</f>
        <v>8735180.79</v>
      </c>
      <c r="W16" s="154">
        <f>SUM(W17:W41)</f>
        <v>1995261.21</v>
      </c>
      <c r="X16" s="154">
        <f>SUM(X17:X41)</f>
        <v>328337.93999999994</v>
      </c>
      <c r="Y16" s="154">
        <f>SUM(Y17:Y41)</f>
        <v>129679.84000000003</v>
      </c>
      <c r="Z16" s="154">
        <f>SUM(Z17:Z41)</f>
        <v>24390122.3</v>
      </c>
    </row>
    <row r="17" spans="1:26" ht="18.75">
      <c r="A17" s="133"/>
      <c r="B17" s="134"/>
      <c r="C17" s="137" t="s">
        <v>395</v>
      </c>
      <c r="D17" s="155">
        <f>F17</f>
        <v>3537111.5900000003</v>
      </c>
      <c r="E17" s="136"/>
      <c r="F17" s="155">
        <f>1883424.34-14650.69+G17-1662.06</f>
        <v>3537111.5900000003</v>
      </c>
      <c r="G17" s="155">
        <f>370000+1300000</f>
        <v>1670000</v>
      </c>
      <c r="H17" s="204">
        <f>J17+K17</f>
        <v>2503916.79</v>
      </c>
      <c r="I17" s="222"/>
      <c r="J17" s="222">
        <f>285173+575000+13522.53+2704.51</f>
        <v>876400.04</v>
      </c>
      <c r="K17" s="222">
        <f>11331.03+86811.92+1531.69+1353.6+47120.79+440000+62636.1+1320+69019.18+42379+230772+4406.44+180000+64621+325000+59214</f>
        <v>1627516.75</v>
      </c>
      <c r="L17" s="209">
        <f>H17/(O17+P17+Q17+R17+S17+T17+U17+V17+W17+X17)*100</f>
        <v>70.78987264860366</v>
      </c>
      <c r="M17" s="216"/>
      <c r="N17" s="221">
        <f t="shared" si="1"/>
        <v>1033194.7999999998</v>
      </c>
      <c r="O17" s="194"/>
      <c r="P17" s="181"/>
      <c r="Q17" s="179">
        <v>1000000</v>
      </c>
      <c r="R17" s="179">
        <v>400000</v>
      </c>
      <c r="S17" s="179">
        <v>468773.65</v>
      </c>
      <c r="T17" s="181"/>
      <c r="U17" s="181"/>
      <c r="V17" s="173">
        <v>370000</v>
      </c>
      <c r="W17" s="181"/>
      <c r="X17" s="179">
        <f>-1662.06+1300000</f>
        <v>1298337.94</v>
      </c>
      <c r="Y17" s="181"/>
      <c r="Z17" s="180">
        <f t="shared" si="4"/>
        <v>3537111.59</v>
      </c>
    </row>
    <row r="18" spans="1:26" s="131" customFormat="1" ht="18.75">
      <c r="A18" s="138"/>
      <c r="B18" s="138"/>
      <c r="C18" s="137" t="s">
        <v>264</v>
      </c>
      <c r="D18" s="160">
        <f aca="true" t="shared" si="6" ref="D18:D41">F18</f>
        <v>10000000</v>
      </c>
      <c r="E18" s="130"/>
      <c r="F18" s="155">
        <f aca="true" t="shared" si="7" ref="F18:F41">G18</f>
        <v>10000000</v>
      </c>
      <c r="G18" s="155">
        <v>10000000</v>
      </c>
      <c r="H18" s="204">
        <f>91583+4850000</f>
        <v>4941583</v>
      </c>
      <c r="I18" s="222"/>
      <c r="J18" s="222"/>
      <c r="K18" s="222"/>
      <c r="L18" s="209">
        <f aca="true" t="shared" si="8" ref="L18:L41">H18/(O18+P18+Q18+R18+S18+T18+U18+V18+W18+X18)*100</f>
        <v>49.41583</v>
      </c>
      <c r="M18" s="216"/>
      <c r="N18" s="221">
        <f t="shared" si="1"/>
        <v>5058417</v>
      </c>
      <c r="O18" s="197"/>
      <c r="P18" s="173"/>
      <c r="Q18" s="173"/>
      <c r="R18" s="173">
        <v>100000</v>
      </c>
      <c r="S18" s="173"/>
      <c r="T18" s="173">
        <v>3000000</v>
      </c>
      <c r="U18" s="173">
        <v>2300000</v>
      </c>
      <c r="V18" s="173">
        <v>2300000</v>
      </c>
      <c r="W18" s="173">
        <v>1700000</v>
      </c>
      <c r="X18" s="173">
        <v>600000</v>
      </c>
      <c r="Y18" s="174"/>
      <c r="Z18" s="182">
        <f t="shared" si="4"/>
        <v>10000000</v>
      </c>
    </row>
    <row r="19" spans="1:26" s="131" customFormat="1" ht="23.25" customHeight="1">
      <c r="A19" s="138"/>
      <c r="B19" s="138"/>
      <c r="C19" s="137" t="s">
        <v>446</v>
      </c>
      <c r="D19" s="160">
        <f t="shared" si="6"/>
        <v>279079.21</v>
      </c>
      <c r="E19" s="130"/>
      <c r="F19" s="155">
        <f t="shared" si="7"/>
        <v>279079.21</v>
      </c>
      <c r="G19" s="155">
        <v>279079.21</v>
      </c>
      <c r="H19" s="204">
        <v>279079.21</v>
      </c>
      <c r="I19" s="222"/>
      <c r="J19" s="222"/>
      <c r="K19" s="222"/>
      <c r="L19" s="209">
        <f t="shared" si="8"/>
        <v>100</v>
      </c>
      <c r="M19" s="216"/>
      <c r="N19" s="221">
        <f t="shared" si="1"/>
        <v>0</v>
      </c>
      <c r="O19" s="197">
        <v>279079.21</v>
      </c>
      <c r="P19" s="173"/>
      <c r="Q19" s="173"/>
      <c r="R19" s="173"/>
      <c r="S19" s="173"/>
      <c r="T19" s="173"/>
      <c r="U19" s="173"/>
      <c r="V19" s="173"/>
      <c r="W19" s="173"/>
      <c r="X19" s="173"/>
      <c r="Y19" s="173"/>
      <c r="Z19" s="182">
        <f t="shared" si="4"/>
        <v>279079.21</v>
      </c>
    </row>
    <row r="20" spans="1:26" s="131" customFormat="1" ht="39.75" customHeight="1">
      <c r="A20" s="138"/>
      <c r="B20" s="138"/>
      <c r="C20" s="137" t="s">
        <v>396</v>
      </c>
      <c r="D20" s="160">
        <f t="shared" si="6"/>
        <v>1004077.15</v>
      </c>
      <c r="E20" s="130"/>
      <c r="F20" s="155">
        <f t="shared" si="7"/>
        <v>1004077.15</v>
      </c>
      <c r="G20" s="155">
        <f>44077.15+780000+180000</f>
        <v>1004077.15</v>
      </c>
      <c r="H20" s="204">
        <f>44077.15+767334.35+82605.77+58288+1041.65</f>
        <v>953346.92</v>
      </c>
      <c r="I20" s="222"/>
      <c r="J20" s="222"/>
      <c r="K20" s="222"/>
      <c r="L20" s="209">
        <f t="shared" si="8"/>
        <v>94.94757648851984</v>
      </c>
      <c r="M20" s="216"/>
      <c r="N20" s="221">
        <f t="shared" si="1"/>
        <v>50730.22999999998</v>
      </c>
      <c r="O20" s="197">
        <v>44077.15</v>
      </c>
      <c r="P20" s="173"/>
      <c r="Q20" s="173"/>
      <c r="R20" s="173">
        <v>780000</v>
      </c>
      <c r="S20" s="173"/>
      <c r="T20" s="173"/>
      <c r="U20" s="173">
        <f>180000</f>
        <v>180000</v>
      </c>
      <c r="V20" s="173"/>
      <c r="W20" s="173"/>
      <c r="X20" s="173"/>
      <c r="Y20" s="173"/>
      <c r="Z20" s="182">
        <f t="shared" si="4"/>
        <v>1004077.15</v>
      </c>
    </row>
    <row r="21" spans="1:26" s="131" customFormat="1" ht="39" customHeight="1">
      <c r="A21" s="138"/>
      <c r="B21" s="138"/>
      <c r="C21" s="137" t="s">
        <v>397</v>
      </c>
      <c r="D21" s="160">
        <f t="shared" si="6"/>
        <v>546953.04</v>
      </c>
      <c r="E21" s="130"/>
      <c r="F21" s="155">
        <f t="shared" si="7"/>
        <v>546953.04</v>
      </c>
      <c r="G21" s="172">
        <f>156953.04+260000+300000-170000</f>
        <v>546953.04</v>
      </c>
      <c r="H21" s="204">
        <f>156953.04</f>
        <v>156953.04</v>
      </c>
      <c r="I21" s="222"/>
      <c r="J21" s="222"/>
      <c r="K21" s="222"/>
      <c r="L21" s="209">
        <f t="shared" si="8"/>
        <v>28.69588950451761</v>
      </c>
      <c r="M21" s="216"/>
      <c r="N21" s="221">
        <f t="shared" si="1"/>
        <v>390000</v>
      </c>
      <c r="O21" s="197">
        <v>156953.04</v>
      </c>
      <c r="P21" s="173"/>
      <c r="Q21" s="173"/>
      <c r="R21" s="173"/>
      <c r="S21" s="173">
        <v>260000</v>
      </c>
      <c r="T21" s="173"/>
      <c r="U21" s="173"/>
      <c r="V21" s="173">
        <v>300000</v>
      </c>
      <c r="W21" s="173"/>
      <c r="X21" s="173">
        <v>-170000</v>
      </c>
      <c r="Y21" s="173"/>
      <c r="Z21" s="182">
        <f t="shared" si="4"/>
        <v>546953.04</v>
      </c>
    </row>
    <row r="22" spans="1:26" s="131" customFormat="1" ht="37.5">
      <c r="A22" s="138"/>
      <c r="B22" s="138"/>
      <c r="C22" s="137" t="s">
        <v>385</v>
      </c>
      <c r="D22" s="160">
        <f t="shared" si="6"/>
        <v>11559.330000000002</v>
      </c>
      <c r="E22" s="130"/>
      <c r="F22" s="155">
        <f t="shared" si="7"/>
        <v>11559.330000000002</v>
      </c>
      <c r="G22" s="172">
        <f>11559.33+50000-50000</f>
        <v>11559.330000000002</v>
      </c>
      <c r="H22" s="204">
        <f>11559.33</f>
        <v>11559.33</v>
      </c>
      <c r="I22" s="229"/>
      <c r="J22" s="229"/>
      <c r="K22" s="229"/>
      <c r="L22" s="209">
        <f t="shared" si="8"/>
        <v>99.99999999999999</v>
      </c>
      <c r="M22" s="216"/>
      <c r="N22" s="221">
        <f t="shared" si="1"/>
        <v>0</v>
      </c>
      <c r="O22" s="197">
        <v>11559.33</v>
      </c>
      <c r="P22" s="173"/>
      <c r="Q22" s="173"/>
      <c r="R22" s="173">
        <v>50000</v>
      </c>
      <c r="S22" s="173"/>
      <c r="T22" s="173"/>
      <c r="U22" s="173"/>
      <c r="V22" s="173"/>
      <c r="W22" s="173"/>
      <c r="X22" s="173">
        <v>-50000</v>
      </c>
      <c r="Y22" s="173"/>
      <c r="Z22" s="182">
        <f t="shared" si="4"/>
        <v>11559.330000000002</v>
      </c>
    </row>
    <row r="23" spans="1:26" s="131" customFormat="1" ht="18.75">
      <c r="A23" s="138"/>
      <c r="B23" s="138"/>
      <c r="C23" s="137" t="s">
        <v>398</v>
      </c>
      <c r="D23" s="160">
        <f t="shared" si="6"/>
        <v>865220.14</v>
      </c>
      <c r="E23" s="160"/>
      <c r="F23" s="160">
        <f t="shared" si="7"/>
        <v>865220.14</v>
      </c>
      <c r="G23" s="172">
        <f>745220.14+120000</f>
        <v>865220.14</v>
      </c>
      <c r="H23" s="204">
        <f>745220.14+51453.47</f>
        <v>796673.61</v>
      </c>
      <c r="I23" s="229"/>
      <c r="J23" s="229"/>
      <c r="K23" s="229"/>
      <c r="L23" s="209">
        <f t="shared" si="8"/>
        <v>92.07756190233852</v>
      </c>
      <c r="M23" s="216"/>
      <c r="N23" s="221">
        <f t="shared" si="1"/>
        <v>68546.53000000003</v>
      </c>
      <c r="O23" s="197">
        <v>745220.14</v>
      </c>
      <c r="P23" s="173"/>
      <c r="Q23" s="173"/>
      <c r="R23" s="173">
        <v>120000</v>
      </c>
      <c r="S23" s="173"/>
      <c r="T23" s="173"/>
      <c r="U23" s="173"/>
      <c r="V23" s="173"/>
      <c r="W23" s="173"/>
      <c r="X23" s="173"/>
      <c r="Y23" s="173"/>
      <c r="Z23" s="182">
        <f t="shared" si="4"/>
        <v>865220.14</v>
      </c>
    </row>
    <row r="24" spans="1:26" s="131" customFormat="1" ht="18.75">
      <c r="A24" s="170"/>
      <c r="B24" s="171"/>
      <c r="C24" s="137" t="s">
        <v>262</v>
      </c>
      <c r="D24" s="160">
        <f t="shared" si="6"/>
        <v>100000</v>
      </c>
      <c r="E24" s="187"/>
      <c r="F24" s="160">
        <f t="shared" si="7"/>
        <v>100000</v>
      </c>
      <c r="G24" s="172">
        <v>100000</v>
      </c>
      <c r="H24" s="206"/>
      <c r="I24" s="229"/>
      <c r="J24" s="229"/>
      <c r="K24" s="229"/>
      <c r="L24" s="209"/>
      <c r="M24" s="216"/>
      <c r="N24" s="221">
        <f t="shared" si="1"/>
        <v>100000</v>
      </c>
      <c r="O24" s="197"/>
      <c r="P24" s="173"/>
      <c r="Q24" s="173"/>
      <c r="R24" s="173">
        <v>100000</v>
      </c>
      <c r="S24" s="173"/>
      <c r="T24" s="173"/>
      <c r="U24" s="173"/>
      <c r="V24" s="173"/>
      <c r="W24" s="173"/>
      <c r="X24" s="173"/>
      <c r="Y24" s="173"/>
      <c r="Z24" s="182">
        <f t="shared" si="4"/>
        <v>100000</v>
      </c>
    </row>
    <row r="25" spans="1:26" s="131" customFormat="1" ht="18.75">
      <c r="A25" s="170"/>
      <c r="B25" s="171"/>
      <c r="C25" s="137" t="s">
        <v>263</v>
      </c>
      <c r="D25" s="160">
        <f t="shared" si="6"/>
        <v>445913</v>
      </c>
      <c r="E25" s="187"/>
      <c r="F25" s="160">
        <f t="shared" si="7"/>
        <v>445913</v>
      </c>
      <c r="G25" s="172">
        <f>450000-4087</f>
        <v>445913</v>
      </c>
      <c r="H25" s="206">
        <f>17000+209206+13385.18</f>
        <v>239591.18</v>
      </c>
      <c r="I25" s="229"/>
      <c r="J25" s="229"/>
      <c r="K25" s="229"/>
      <c r="L25" s="209">
        <f t="shared" si="8"/>
        <v>53.73047657278438</v>
      </c>
      <c r="M25" s="216"/>
      <c r="N25" s="221">
        <f t="shared" si="1"/>
        <v>206321.82</v>
      </c>
      <c r="O25" s="197"/>
      <c r="P25" s="173"/>
      <c r="Q25" s="173"/>
      <c r="R25" s="173">
        <v>450000</v>
      </c>
      <c r="S25" s="173"/>
      <c r="T25" s="173"/>
      <c r="U25" s="173">
        <v>-200000</v>
      </c>
      <c r="V25" s="173">
        <f>200000-4087</f>
        <v>195913</v>
      </c>
      <c r="W25" s="173"/>
      <c r="X25" s="173"/>
      <c r="Y25" s="173"/>
      <c r="Z25" s="182">
        <f t="shared" si="4"/>
        <v>445913</v>
      </c>
    </row>
    <row r="26" spans="1:26" s="131" customFormat="1" ht="18.75">
      <c r="A26" s="170"/>
      <c r="B26" s="171"/>
      <c r="C26" s="137" t="s">
        <v>399</v>
      </c>
      <c r="D26" s="160">
        <f t="shared" si="6"/>
        <v>1215000</v>
      </c>
      <c r="E26" s="187"/>
      <c r="F26" s="160">
        <f t="shared" si="7"/>
        <v>1215000</v>
      </c>
      <c r="G26" s="172">
        <f>1100000+115000</f>
        <v>1215000</v>
      </c>
      <c r="H26" s="206">
        <f>734925.13+339393+18811.97+220+110967+2000+1995.49</f>
        <v>1208312.5899999999</v>
      </c>
      <c r="I26" s="229"/>
      <c r="J26" s="229"/>
      <c r="K26" s="229"/>
      <c r="L26" s="209">
        <f t="shared" si="8"/>
        <v>99.44959588477364</v>
      </c>
      <c r="M26" s="216"/>
      <c r="N26" s="221">
        <f t="shared" si="1"/>
        <v>6687.410000000149</v>
      </c>
      <c r="O26" s="197"/>
      <c r="P26" s="173"/>
      <c r="Q26" s="173"/>
      <c r="R26" s="173">
        <v>400000</v>
      </c>
      <c r="S26" s="173">
        <v>350000</v>
      </c>
      <c r="T26" s="173">
        <v>350000</v>
      </c>
      <c r="U26" s="173"/>
      <c r="V26" s="173"/>
      <c r="W26" s="173">
        <f>115000</f>
        <v>115000</v>
      </c>
      <c r="X26" s="173"/>
      <c r="Y26" s="173"/>
      <c r="Z26" s="182">
        <f t="shared" si="4"/>
        <v>1215000</v>
      </c>
    </row>
    <row r="27" spans="1:26" s="131" customFormat="1" ht="37.5">
      <c r="A27" s="170"/>
      <c r="B27" s="171"/>
      <c r="C27" s="137" t="s">
        <v>400</v>
      </c>
      <c r="D27" s="160">
        <f t="shared" si="6"/>
        <v>129679.84000000003</v>
      </c>
      <c r="E27" s="187"/>
      <c r="F27" s="160">
        <f t="shared" si="7"/>
        <v>129679.84000000003</v>
      </c>
      <c r="G27" s="172">
        <f>500000-370320.16</f>
        <v>129679.84000000003</v>
      </c>
      <c r="H27" s="206"/>
      <c r="I27" s="229"/>
      <c r="J27" s="229"/>
      <c r="K27" s="229"/>
      <c r="L27" s="209"/>
      <c r="M27" s="216"/>
      <c r="N27" s="221">
        <f t="shared" si="1"/>
        <v>0</v>
      </c>
      <c r="O27" s="197"/>
      <c r="P27" s="173"/>
      <c r="Q27" s="173"/>
      <c r="R27" s="173"/>
      <c r="S27" s="173"/>
      <c r="T27" s="173"/>
      <c r="U27" s="173">
        <v>76000</v>
      </c>
      <c r="V27" s="173">
        <f>-76000</f>
        <v>-76000</v>
      </c>
      <c r="W27" s="173"/>
      <c r="X27" s="173"/>
      <c r="Y27" s="173">
        <f>424000-294320.16</f>
        <v>129679.84000000003</v>
      </c>
      <c r="Z27" s="182">
        <f t="shared" si="4"/>
        <v>129679.84000000003</v>
      </c>
    </row>
    <row r="28" spans="1:26" s="131" customFormat="1" ht="37.5">
      <c r="A28" s="170"/>
      <c r="B28" s="171"/>
      <c r="C28" s="137" t="s">
        <v>274</v>
      </c>
      <c r="D28" s="160">
        <f t="shared" si="6"/>
        <v>130529</v>
      </c>
      <c r="E28" s="187"/>
      <c r="F28" s="160">
        <f t="shared" si="7"/>
        <v>130529</v>
      </c>
      <c r="G28" s="160">
        <f>60000+70529</f>
        <v>130529</v>
      </c>
      <c r="H28" s="206">
        <f>74843</f>
        <v>74843</v>
      </c>
      <c r="I28" s="229"/>
      <c r="J28" s="229"/>
      <c r="K28" s="229"/>
      <c r="L28" s="209">
        <f t="shared" si="8"/>
        <v>57.33821602862199</v>
      </c>
      <c r="M28" s="216"/>
      <c r="N28" s="221">
        <f t="shared" si="1"/>
        <v>55686</v>
      </c>
      <c r="O28" s="197"/>
      <c r="P28" s="173"/>
      <c r="Q28" s="173"/>
      <c r="R28" s="173">
        <v>15000</v>
      </c>
      <c r="S28" s="173">
        <v>45000</v>
      </c>
      <c r="T28" s="173"/>
      <c r="U28" s="173"/>
      <c r="V28" s="173"/>
      <c r="W28" s="173">
        <v>70529</v>
      </c>
      <c r="X28" s="173"/>
      <c r="Y28" s="173"/>
      <c r="Z28" s="182">
        <f t="shared" si="4"/>
        <v>130529</v>
      </c>
    </row>
    <row r="29" spans="1:26" s="131" customFormat="1" ht="37.5">
      <c r="A29" s="170"/>
      <c r="B29" s="171"/>
      <c r="C29" s="137" t="s">
        <v>266</v>
      </c>
      <c r="D29" s="160">
        <f t="shared" si="6"/>
        <v>430000</v>
      </c>
      <c r="E29" s="187"/>
      <c r="F29" s="160">
        <f t="shared" si="7"/>
        <v>430000</v>
      </c>
      <c r="G29" s="160">
        <f>300000+130000</f>
        <v>430000</v>
      </c>
      <c r="H29" s="206">
        <f>10833.73+240000+87497+5701.26</f>
        <v>344031.99</v>
      </c>
      <c r="I29" s="229"/>
      <c r="J29" s="229"/>
      <c r="K29" s="229"/>
      <c r="L29" s="209">
        <f t="shared" si="8"/>
        <v>80.00743953488372</v>
      </c>
      <c r="M29" s="216"/>
      <c r="N29" s="221">
        <f t="shared" si="1"/>
        <v>85968.01000000001</v>
      </c>
      <c r="O29" s="197"/>
      <c r="P29" s="173"/>
      <c r="Q29" s="173"/>
      <c r="R29" s="173">
        <v>35000</v>
      </c>
      <c r="S29" s="173">
        <v>265000</v>
      </c>
      <c r="T29" s="173"/>
      <c r="U29" s="173"/>
      <c r="V29" s="173">
        <f>130000</f>
        <v>130000</v>
      </c>
      <c r="W29" s="173"/>
      <c r="X29" s="173"/>
      <c r="Y29" s="173"/>
      <c r="Z29" s="182">
        <f t="shared" si="4"/>
        <v>430000</v>
      </c>
    </row>
    <row r="30" spans="1:26" s="131" customFormat="1" ht="37.5">
      <c r="A30" s="170"/>
      <c r="B30" s="171"/>
      <c r="C30" s="137" t="s">
        <v>401</v>
      </c>
      <c r="D30" s="160">
        <f t="shared" si="6"/>
        <v>450000</v>
      </c>
      <c r="E30" s="187"/>
      <c r="F30" s="160">
        <f t="shared" si="7"/>
        <v>450000</v>
      </c>
      <c r="G30" s="160">
        <f>650000-50000-150000</f>
        <v>450000</v>
      </c>
      <c r="H30" s="206">
        <f>9702.61+121416+193587.53+819+104876+1924.61</f>
        <v>432325.75</v>
      </c>
      <c r="I30" s="229"/>
      <c r="J30" s="229"/>
      <c r="K30" s="229"/>
      <c r="L30" s="209">
        <f t="shared" si="8"/>
        <v>96.0723888888889</v>
      </c>
      <c r="M30" s="216"/>
      <c r="N30" s="221">
        <f t="shared" si="1"/>
        <v>17674.25</v>
      </c>
      <c r="O30" s="197"/>
      <c r="P30" s="173"/>
      <c r="Q30" s="173"/>
      <c r="R30" s="173">
        <v>650000</v>
      </c>
      <c r="S30" s="173"/>
      <c r="T30" s="173"/>
      <c r="U30" s="173">
        <f>-200000</f>
        <v>-200000</v>
      </c>
      <c r="V30" s="173">
        <v>200000</v>
      </c>
      <c r="W30" s="173"/>
      <c r="X30" s="173">
        <f>-50000-150000</f>
        <v>-200000</v>
      </c>
      <c r="Y30" s="173"/>
      <c r="Z30" s="182">
        <f t="shared" si="4"/>
        <v>450000</v>
      </c>
    </row>
    <row r="31" spans="1:26" s="131" customFormat="1" ht="18.75">
      <c r="A31" s="170"/>
      <c r="B31" s="171"/>
      <c r="C31" s="137" t="s">
        <v>271</v>
      </c>
      <c r="D31" s="160">
        <f t="shared" si="6"/>
        <v>1145000</v>
      </c>
      <c r="E31" s="187"/>
      <c r="F31" s="160">
        <f t="shared" si="7"/>
        <v>1145000</v>
      </c>
      <c r="G31" s="172">
        <f>1120000+25000</f>
        <v>1145000</v>
      </c>
      <c r="H31" s="206">
        <f>23495.13+895000+80990.45+91699+1666+1607.68</f>
        <v>1094458.26</v>
      </c>
      <c r="I31" s="229"/>
      <c r="J31" s="229"/>
      <c r="K31" s="229"/>
      <c r="L31" s="209">
        <f t="shared" si="8"/>
        <v>95.58587423580786</v>
      </c>
      <c r="M31" s="216"/>
      <c r="N31" s="221">
        <f t="shared" si="1"/>
        <v>50541.73999999999</v>
      </c>
      <c r="O31" s="197"/>
      <c r="P31" s="173"/>
      <c r="Q31" s="173"/>
      <c r="R31" s="173"/>
      <c r="S31" s="173"/>
      <c r="T31" s="173"/>
      <c r="U31" s="173">
        <f>520000+400000</f>
        <v>920000</v>
      </c>
      <c r="V31" s="173">
        <f>600000-400000+25000</f>
        <v>225000</v>
      </c>
      <c r="W31" s="173"/>
      <c r="X31" s="173"/>
      <c r="Y31" s="173"/>
      <c r="Z31" s="182">
        <f t="shared" si="4"/>
        <v>1145000</v>
      </c>
    </row>
    <row r="32" spans="1:26" s="131" customFormat="1" ht="18.75">
      <c r="A32" s="170"/>
      <c r="B32" s="171"/>
      <c r="C32" s="137" t="s">
        <v>267</v>
      </c>
      <c r="D32" s="160">
        <f t="shared" si="6"/>
        <v>600000</v>
      </c>
      <c r="E32" s="160"/>
      <c r="F32" s="160">
        <f t="shared" si="7"/>
        <v>600000</v>
      </c>
      <c r="G32" s="172">
        <v>600000</v>
      </c>
      <c r="H32" s="155"/>
      <c r="I32" s="229"/>
      <c r="J32" s="229"/>
      <c r="K32" s="229"/>
      <c r="L32" s="209"/>
      <c r="M32" s="216"/>
      <c r="N32" s="221">
        <f t="shared" si="1"/>
        <v>600000</v>
      </c>
      <c r="O32" s="173"/>
      <c r="P32" s="173"/>
      <c r="Q32" s="173"/>
      <c r="R32" s="173">
        <v>50000</v>
      </c>
      <c r="S32" s="173"/>
      <c r="T32" s="173"/>
      <c r="U32" s="173"/>
      <c r="V32" s="173">
        <v>440267.79</v>
      </c>
      <c r="W32" s="173">
        <v>109732.21</v>
      </c>
      <c r="X32" s="173"/>
      <c r="Y32" s="173"/>
      <c r="Z32" s="182">
        <f t="shared" si="4"/>
        <v>600000</v>
      </c>
    </row>
    <row r="33" spans="1:26" s="131" customFormat="1" ht="30.75" customHeight="1">
      <c r="A33" s="170"/>
      <c r="B33" s="171"/>
      <c r="C33" s="137" t="s">
        <v>275</v>
      </c>
      <c r="D33" s="160">
        <f t="shared" si="6"/>
        <v>3000</v>
      </c>
      <c r="E33" s="160"/>
      <c r="F33" s="160">
        <f t="shared" si="7"/>
        <v>3000</v>
      </c>
      <c r="G33" s="172">
        <f>550000-547000</f>
        <v>3000</v>
      </c>
      <c r="H33" s="155">
        <f>3000</f>
        <v>3000</v>
      </c>
      <c r="I33" s="229"/>
      <c r="J33" s="229"/>
      <c r="K33" s="229"/>
      <c r="L33" s="209">
        <f t="shared" si="8"/>
        <v>100</v>
      </c>
      <c r="M33" s="216"/>
      <c r="N33" s="221">
        <f t="shared" si="1"/>
        <v>0</v>
      </c>
      <c r="O33" s="173"/>
      <c r="P33" s="173"/>
      <c r="Q33" s="173"/>
      <c r="R33" s="173"/>
      <c r="S33" s="173"/>
      <c r="T33" s="173"/>
      <c r="U33" s="173"/>
      <c r="V33" s="173">
        <v>550000</v>
      </c>
      <c r="W33" s="173"/>
      <c r="X33" s="173">
        <v>-547000</v>
      </c>
      <c r="Y33" s="173"/>
      <c r="Z33" s="182">
        <f t="shared" si="4"/>
        <v>3000</v>
      </c>
    </row>
    <row r="34" spans="1:26" s="131" customFormat="1" ht="18.75" hidden="1">
      <c r="A34" s="170"/>
      <c r="B34" s="171"/>
      <c r="C34" s="137" t="s">
        <v>276</v>
      </c>
      <c r="D34" s="160">
        <f t="shared" si="6"/>
        <v>0</v>
      </c>
      <c r="E34" s="160"/>
      <c r="F34" s="160">
        <f t="shared" si="7"/>
        <v>0</v>
      </c>
      <c r="G34" s="172">
        <f>1300000-1300000</f>
        <v>0</v>
      </c>
      <c r="H34" s="155">
        <f>575000-575000</f>
        <v>0</v>
      </c>
      <c r="I34" s="229"/>
      <c r="J34" s="229"/>
      <c r="K34" s="229"/>
      <c r="L34" s="209" t="e">
        <f t="shared" si="8"/>
        <v>#DIV/0!</v>
      </c>
      <c r="M34" s="216"/>
      <c r="N34" s="221">
        <f t="shared" si="1"/>
        <v>0</v>
      </c>
      <c r="O34" s="173"/>
      <c r="P34" s="173"/>
      <c r="Q34" s="173"/>
      <c r="R34" s="173"/>
      <c r="S34" s="173"/>
      <c r="T34" s="173"/>
      <c r="U34" s="173"/>
      <c r="V34" s="173">
        <v>1300000</v>
      </c>
      <c r="W34" s="173"/>
      <c r="X34" s="173">
        <v>-1300000</v>
      </c>
      <c r="Y34" s="173"/>
      <c r="Z34" s="182">
        <f t="shared" si="4"/>
        <v>0</v>
      </c>
    </row>
    <row r="35" spans="1:26" s="131" customFormat="1" ht="18.75">
      <c r="A35" s="170"/>
      <c r="B35" s="171"/>
      <c r="C35" s="137" t="s">
        <v>277</v>
      </c>
      <c r="D35" s="160">
        <f t="shared" si="6"/>
        <v>1200000</v>
      </c>
      <c r="E35" s="160"/>
      <c r="F35" s="160">
        <f t="shared" si="7"/>
        <v>1200000</v>
      </c>
      <c r="G35" s="172">
        <v>1200000</v>
      </c>
      <c r="H35" s="155">
        <f>10350+700000</f>
        <v>710350</v>
      </c>
      <c r="I35" s="229"/>
      <c r="J35" s="229"/>
      <c r="K35" s="229"/>
      <c r="L35" s="209">
        <f t="shared" si="8"/>
        <v>59.19583333333334</v>
      </c>
      <c r="M35" s="216"/>
      <c r="N35" s="221">
        <f t="shared" si="1"/>
        <v>489650</v>
      </c>
      <c r="O35" s="173"/>
      <c r="P35" s="173"/>
      <c r="Q35" s="173"/>
      <c r="R35" s="173"/>
      <c r="S35" s="173"/>
      <c r="T35" s="173"/>
      <c r="U35" s="173"/>
      <c r="V35" s="173">
        <v>1200000</v>
      </c>
      <c r="W35" s="173"/>
      <c r="X35" s="173"/>
      <c r="Y35" s="173"/>
      <c r="Z35" s="182">
        <f t="shared" si="4"/>
        <v>1200000</v>
      </c>
    </row>
    <row r="36" spans="1:26" s="131" customFormat="1" ht="18.75">
      <c r="A36" s="170"/>
      <c r="B36" s="171"/>
      <c r="C36" s="137" t="s">
        <v>239</v>
      </c>
      <c r="D36" s="160">
        <f t="shared" si="6"/>
        <v>1200000</v>
      </c>
      <c r="E36" s="160"/>
      <c r="F36" s="160">
        <f t="shared" si="7"/>
        <v>1200000</v>
      </c>
      <c r="G36" s="172">
        <v>1200000</v>
      </c>
      <c r="H36" s="155">
        <f>723400</f>
        <v>723400</v>
      </c>
      <c r="I36" s="229"/>
      <c r="J36" s="229"/>
      <c r="K36" s="229"/>
      <c r="L36" s="209">
        <f t="shared" si="8"/>
        <v>60.28333333333333</v>
      </c>
      <c r="M36" s="216"/>
      <c r="N36" s="221">
        <f t="shared" si="1"/>
        <v>476600</v>
      </c>
      <c r="O36" s="173"/>
      <c r="P36" s="173"/>
      <c r="Q36" s="173"/>
      <c r="R36" s="173"/>
      <c r="S36" s="173"/>
      <c r="T36" s="173"/>
      <c r="U36" s="173"/>
      <c r="V36" s="173">
        <v>1200000</v>
      </c>
      <c r="W36" s="173"/>
      <c r="X36" s="173"/>
      <c r="Y36" s="173"/>
      <c r="Z36" s="182">
        <f t="shared" si="4"/>
        <v>1200000</v>
      </c>
    </row>
    <row r="37" spans="1:26" s="131" customFormat="1" ht="18.75">
      <c r="A37" s="170"/>
      <c r="B37" s="171"/>
      <c r="C37" s="137" t="s">
        <v>386</v>
      </c>
      <c r="D37" s="160">
        <f t="shared" si="6"/>
        <v>150000</v>
      </c>
      <c r="E37" s="160"/>
      <c r="F37" s="160">
        <f t="shared" si="7"/>
        <v>150000</v>
      </c>
      <c r="G37" s="172">
        <v>150000</v>
      </c>
      <c r="H37" s="155">
        <f>42000</f>
        <v>42000</v>
      </c>
      <c r="I37" s="229"/>
      <c r="J37" s="229"/>
      <c r="K37" s="229"/>
      <c r="L37" s="209">
        <f t="shared" si="8"/>
        <v>28.000000000000004</v>
      </c>
      <c r="M37" s="216"/>
      <c r="N37" s="221">
        <f t="shared" si="1"/>
        <v>108000</v>
      </c>
      <c r="O37" s="173"/>
      <c r="P37" s="173"/>
      <c r="Q37" s="173"/>
      <c r="R37" s="173"/>
      <c r="S37" s="173"/>
      <c r="T37" s="173"/>
      <c r="U37" s="173"/>
      <c r="V37" s="173"/>
      <c r="W37" s="173"/>
      <c r="X37" s="173">
        <f>150000</f>
        <v>150000</v>
      </c>
      <c r="Y37" s="173"/>
      <c r="Z37" s="182">
        <f t="shared" si="4"/>
        <v>150000</v>
      </c>
    </row>
    <row r="38" spans="1:26" s="131" customFormat="1" ht="37.5">
      <c r="A38" s="170"/>
      <c r="B38" s="171"/>
      <c r="C38" s="137" t="s">
        <v>141</v>
      </c>
      <c r="D38" s="160">
        <f t="shared" si="6"/>
        <v>97000</v>
      </c>
      <c r="E38" s="160"/>
      <c r="F38" s="160">
        <f t="shared" si="7"/>
        <v>97000</v>
      </c>
      <c r="G38" s="172">
        <v>97000</v>
      </c>
      <c r="H38" s="155"/>
      <c r="I38" s="229"/>
      <c r="J38" s="229"/>
      <c r="K38" s="229"/>
      <c r="L38" s="209"/>
      <c r="M38" s="216"/>
      <c r="N38" s="221">
        <f t="shared" si="1"/>
        <v>97000</v>
      </c>
      <c r="O38" s="173"/>
      <c r="P38" s="173"/>
      <c r="Q38" s="173"/>
      <c r="R38" s="173"/>
      <c r="S38" s="173"/>
      <c r="T38" s="173"/>
      <c r="U38" s="173"/>
      <c r="V38" s="173"/>
      <c r="W38" s="173"/>
      <c r="X38" s="173">
        <v>97000</v>
      </c>
      <c r="Y38" s="173"/>
      <c r="Z38" s="182">
        <f t="shared" si="4"/>
        <v>97000</v>
      </c>
    </row>
    <row r="39" spans="1:26" s="131" customFormat="1" ht="37.5">
      <c r="A39" s="170"/>
      <c r="B39" s="171"/>
      <c r="C39" s="137" t="s">
        <v>142</v>
      </c>
      <c r="D39" s="160">
        <f t="shared" si="6"/>
        <v>200000</v>
      </c>
      <c r="E39" s="160"/>
      <c r="F39" s="160">
        <f t="shared" si="7"/>
        <v>200000</v>
      </c>
      <c r="G39" s="172">
        <v>200000</v>
      </c>
      <c r="H39" s="155"/>
      <c r="I39" s="229"/>
      <c r="J39" s="229"/>
      <c r="K39" s="229"/>
      <c r="L39" s="209"/>
      <c r="M39" s="216"/>
      <c r="N39" s="221">
        <f t="shared" si="1"/>
        <v>200000</v>
      </c>
      <c r="O39" s="173"/>
      <c r="P39" s="173"/>
      <c r="Q39" s="173"/>
      <c r="R39" s="173"/>
      <c r="S39" s="173"/>
      <c r="T39" s="173"/>
      <c r="U39" s="173"/>
      <c r="V39" s="173"/>
      <c r="W39" s="173"/>
      <c r="X39" s="173">
        <v>200000</v>
      </c>
      <c r="Y39" s="173"/>
      <c r="Z39" s="182">
        <f t="shared" si="4"/>
        <v>200000</v>
      </c>
    </row>
    <row r="40" spans="1:26" s="131" customFormat="1" ht="43.5" customHeight="1">
      <c r="A40" s="170"/>
      <c r="B40" s="171"/>
      <c r="C40" s="137" t="s">
        <v>143</v>
      </c>
      <c r="D40" s="160">
        <f t="shared" si="6"/>
        <v>250000</v>
      </c>
      <c r="E40" s="160"/>
      <c r="F40" s="160">
        <f t="shared" si="7"/>
        <v>250000</v>
      </c>
      <c r="G40" s="172">
        <v>250000</v>
      </c>
      <c r="H40" s="155"/>
      <c r="I40" s="229"/>
      <c r="J40" s="229"/>
      <c r="K40" s="229"/>
      <c r="L40" s="209"/>
      <c r="M40" s="216"/>
      <c r="N40" s="221">
        <f t="shared" si="1"/>
        <v>250000</v>
      </c>
      <c r="O40" s="173"/>
      <c r="P40" s="173"/>
      <c r="Q40" s="173"/>
      <c r="R40" s="173"/>
      <c r="S40" s="173"/>
      <c r="T40" s="173"/>
      <c r="U40" s="173"/>
      <c r="V40" s="173"/>
      <c r="W40" s="173"/>
      <c r="X40" s="173">
        <v>250000</v>
      </c>
      <c r="Y40" s="173"/>
      <c r="Z40" s="182">
        <f t="shared" si="4"/>
        <v>250000</v>
      </c>
    </row>
    <row r="41" spans="1:26" s="131" customFormat="1" ht="24.75" customHeight="1">
      <c r="A41" s="170"/>
      <c r="B41" s="171"/>
      <c r="C41" s="137" t="s">
        <v>278</v>
      </c>
      <c r="D41" s="160">
        <f t="shared" si="6"/>
        <v>400000</v>
      </c>
      <c r="E41" s="160"/>
      <c r="F41" s="160">
        <f t="shared" si="7"/>
        <v>400000</v>
      </c>
      <c r="G41" s="172">
        <v>400000</v>
      </c>
      <c r="H41" s="155">
        <f>17000+279000</f>
        <v>296000</v>
      </c>
      <c r="I41" s="229"/>
      <c r="J41" s="229"/>
      <c r="K41" s="229"/>
      <c r="L41" s="209">
        <f t="shared" si="8"/>
        <v>74</v>
      </c>
      <c r="M41" s="216"/>
      <c r="N41" s="221">
        <f t="shared" si="1"/>
        <v>104000</v>
      </c>
      <c r="O41" s="173"/>
      <c r="P41" s="173"/>
      <c r="Q41" s="173"/>
      <c r="R41" s="173"/>
      <c r="S41" s="173"/>
      <c r="T41" s="173"/>
      <c r="U41" s="173"/>
      <c r="V41" s="173">
        <v>400000</v>
      </c>
      <c r="W41" s="173"/>
      <c r="X41" s="173"/>
      <c r="Y41" s="173"/>
      <c r="Z41" s="182">
        <f t="shared" si="4"/>
        <v>400000</v>
      </c>
    </row>
    <row r="42" spans="1:26" s="131" customFormat="1" ht="27.75" customHeight="1">
      <c r="A42" s="276" t="s">
        <v>268</v>
      </c>
      <c r="B42" s="277"/>
      <c r="C42" s="277"/>
      <c r="D42" s="277"/>
      <c r="E42" s="277"/>
      <c r="F42" s="277"/>
      <c r="G42" s="277"/>
      <c r="H42" s="277"/>
      <c r="I42" s="277"/>
      <c r="J42" s="277"/>
      <c r="K42" s="277"/>
      <c r="L42" s="280"/>
      <c r="M42" s="216"/>
      <c r="N42" s="221"/>
      <c r="O42" s="231"/>
      <c r="P42" s="231"/>
      <c r="Q42" s="231"/>
      <c r="R42" s="231"/>
      <c r="S42" s="231"/>
      <c r="T42" s="231"/>
      <c r="U42" s="231"/>
      <c r="V42" s="231"/>
      <c r="W42" s="231"/>
      <c r="X42" s="231"/>
      <c r="Y42" s="231"/>
      <c r="Z42" s="182"/>
    </row>
    <row r="43" spans="1:26" s="131" customFormat="1" ht="27.75" customHeight="1">
      <c r="A43" s="150">
        <v>2</v>
      </c>
      <c r="B43" s="151"/>
      <c r="C43" s="161" t="s">
        <v>269</v>
      </c>
      <c r="D43" s="152">
        <f>D44</f>
        <v>701896.79</v>
      </c>
      <c r="E43" s="151"/>
      <c r="F43" s="152">
        <f>G43</f>
        <v>701896.79</v>
      </c>
      <c r="G43" s="152">
        <f>G44</f>
        <v>701896.79</v>
      </c>
      <c r="H43" s="175">
        <f>H44</f>
        <v>701896.79</v>
      </c>
      <c r="I43" s="175"/>
      <c r="J43" s="233"/>
      <c r="K43" s="233"/>
      <c r="L43" s="227">
        <f>H43/(O43+P43+Q43+R43+S43+T43+U43+V43)*100</f>
        <v>100</v>
      </c>
      <c r="M43" s="218"/>
      <c r="N43" s="220">
        <f t="shared" si="1"/>
        <v>0</v>
      </c>
      <c r="O43" s="198">
        <f>O44</f>
        <v>701896.79</v>
      </c>
      <c r="P43" s="175">
        <f aca="true" t="shared" si="9" ref="P43:Z44">P44</f>
        <v>0</v>
      </c>
      <c r="Q43" s="175">
        <f t="shared" si="9"/>
        <v>0</v>
      </c>
      <c r="R43" s="175">
        <f t="shared" si="9"/>
        <v>0</v>
      </c>
      <c r="S43" s="175">
        <f t="shared" si="9"/>
        <v>0</v>
      </c>
      <c r="T43" s="175">
        <f t="shared" si="9"/>
        <v>0</v>
      </c>
      <c r="U43" s="175">
        <f t="shared" si="9"/>
        <v>0</v>
      </c>
      <c r="V43" s="175">
        <f t="shared" si="9"/>
        <v>0</v>
      </c>
      <c r="W43" s="175">
        <f t="shared" si="9"/>
        <v>0</v>
      </c>
      <c r="X43" s="175">
        <f t="shared" si="9"/>
        <v>0</v>
      </c>
      <c r="Y43" s="175">
        <f t="shared" si="9"/>
        <v>0</v>
      </c>
      <c r="Z43" s="175">
        <f t="shared" si="9"/>
        <v>701896.79</v>
      </c>
    </row>
    <row r="44" spans="1:26" s="131" customFormat="1" ht="23.25" customHeight="1">
      <c r="A44" s="133" t="s">
        <v>206</v>
      </c>
      <c r="B44" s="168"/>
      <c r="C44" s="159" t="s">
        <v>261</v>
      </c>
      <c r="D44" s="162">
        <f>F44</f>
        <v>701896.79</v>
      </c>
      <c r="E44" s="138"/>
      <c r="F44" s="162">
        <f>G44</f>
        <v>701896.79</v>
      </c>
      <c r="G44" s="162">
        <f>G45</f>
        <v>701896.79</v>
      </c>
      <c r="H44" s="176">
        <f>H45</f>
        <v>701896.79</v>
      </c>
      <c r="I44" s="176"/>
      <c r="J44" s="238"/>
      <c r="K44" s="238"/>
      <c r="L44" s="214">
        <f>H44/(O44+P44+Q44+R44+S44+T44+U44+V44)*100</f>
        <v>100</v>
      </c>
      <c r="M44" s="217"/>
      <c r="N44" s="220">
        <f t="shared" si="1"/>
        <v>0</v>
      </c>
      <c r="O44" s="199">
        <f>O45</f>
        <v>701896.79</v>
      </c>
      <c r="P44" s="176">
        <f t="shared" si="9"/>
        <v>0</v>
      </c>
      <c r="Q44" s="176">
        <f t="shared" si="9"/>
        <v>0</v>
      </c>
      <c r="R44" s="176">
        <f t="shared" si="9"/>
        <v>0</v>
      </c>
      <c r="S44" s="176">
        <f t="shared" si="9"/>
        <v>0</v>
      </c>
      <c r="T44" s="176">
        <f t="shared" si="9"/>
        <v>0</v>
      </c>
      <c r="U44" s="176">
        <f t="shared" si="9"/>
        <v>0</v>
      </c>
      <c r="V44" s="176">
        <f t="shared" si="9"/>
        <v>0</v>
      </c>
      <c r="W44" s="176">
        <f t="shared" si="9"/>
        <v>0</v>
      </c>
      <c r="X44" s="176">
        <f t="shared" si="9"/>
        <v>0</v>
      </c>
      <c r="Y44" s="176">
        <f t="shared" si="9"/>
        <v>0</v>
      </c>
      <c r="Z44" s="176">
        <f t="shared" si="9"/>
        <v>701896.79</v>
      </c>
    </row>
    <row r="45" spans="1:26" s="131" customFormat="1" ht="38.25" customHeight="1">
      <c r="A45" s="133"/>
      <c r="B45" s="168"/>
      <c r="C45" s="137" t="s">
        <v>233</v>
      </c>
      <c r="D45" s="160">
        <f>F45</f>
        <v>701896.79</v>
      </c>
      <c r="E45" s="138"/>
      <c r="F45" s="160">
        <f>G45</f>
        <v>701896.79</v>
      </c>
      <c r="G45" s="160">
        <v>701896.79</v>
      </c>
      <c r="H45" s="207">
        <v>701896.79</v>
      </c>
      <c r="I45" s="224"/>
      <c r="J45" s="224"/>
      <c r="K45" s="224"/>
      <c r="L45" s="209">
        <f>H45/(O45+P45+Q45+R45+S45+T45+U45+V45)*100</f>
        <v>100</v>
      </c>
      <c r="M45" s="216"/>
      <c r="N45" s="221">
        <f t="shared" si="1"/>
        <v>0</v>
      </c>
      <c r="O45" s="200">
        <v>701896.79</v>
      </c>
      <c r="P45" s="189"/>
      <c r="Q45" s="189"/>
      <c r="R45" s="189"/>
      <c r="S45" s="189"/>
      <c r="T45" s="189"/>
      <c r="U45" s="189"/>
      <c r="V45" s="189"/>
      <c r="W45" s="189"/>
      <c r="X45" s="189"/>
      <c r="Y45" s="189"/>
      <c r="Z45" s="182">
        <f t="shared" si="4"/>
        <v>701896.79</v>
      </c>
    </row>
    <row r="46" spans="1:26" s="131" customFormat="1" ht="45.75" customHeight="1">
      <c r="A46" s="150">
        <v>3</v>
      </c>
      <c r="B46" s="169"/>
      <c r="C46" s="151" t="s">
        <v>212</v>
      </c>
      <c r="D46" s="152">
        <f>D47</f>
        <v>35669517.96</v>
      </c>
      <c r="E46" s="152"/>
      <c r="F46" s="152">
        <f>F47</f>
        <v>35669517.96</v>
      </c>
      <c r="G46" s="152">
        <f>G47</f>
        <v>35669517.96</v>
      </c>
      <c r="H46" s="175">
        <f>H47</f>
        <v>8397784.610000001</v>
      </c>
      <c r="I46" s="175"/>
      <c r="J46" s="233"/>
      <c r="K46" s="233"/>
      <c r="L46" s="227">
        <f>H46/(O46+P46+Q46+R46+S46+T46+U46+V46+W46+X46)*100</f>
        <v>23.543308377246152</v>
      </c>
      <c r="M46" s="218"/>
      <c r="N46" s="220">
        <f t="shared" si="1"/>
        <v>27271733.35</v>
      </c>
      <c r="O46" s="198">
        <f>O47</f>
        <v>471102.4199999999</v>
      </c>
      <c r="P46" s="175">
        <f aca="true" t="shared" si="10" ref="P46:Z46">P47</f>
        <v>0</v>
      </c>
      <c r="Q46" s="175">
        <f t="shared" si="10"/>
        <v>0</v>
      </c>
      <c r="R46" s="175">
        <f t="shared" si="10"/>
        <v>446782.66</v>
      </c>
      <c r="S46" s="175">
        <f t="shared" si="10"/>
        <v>2622872.3</v>
      </c>
      <c r="T46" s="175">
        <f t="shared" si="10"/>
        <v>1808135.9700000002</v>
      </c>
      <c r="U46" s="175">
        <f t="shared" si="10"/>
        <v>8541948.33</v>
      </c>
      <c r="V46" s="175">
        <f t="shared" si="10"/>
        <v>13598346.28</v>
      </c>
      <c r="W46" s="175">
        <f t="shared" si="10"/>
        <v>7067000</v>
      </c>
      <c r="X46" s="175">
        <f t="shared" si="10"/>
        <v>1113330</v>
      </c>
      <c r="Y46" s="175">
        <f t="shared" si="10"/>
        <v>0</v>
      </c>
      <c r="Z46" s="175">
        <f t="shared" si="10"/>
        <v>35669517.96</v>
      </c>
    </row>
    <row r="47" spans="1:27" s="131" customFormat="1" ht="26.25" customHeight="1">
      <c r="A47" s="133" t="s">
        <v>207</v>
      </c>
      <c r="B47" s="159" t="s">
        <v>261</v>
      </c>
      <c r="C47" s="159" t="s">
        <v>261</v>
      </c>
      <c r="D47" s="163">
        <f>SUM(D48:D89)</f>
        <v>35669517.96</v>
      </c>
      <c r="E47" s="163"/>
      <c r="F47" s="163">
        <f>SUM(F48:F89)</f>
        <v>35669517.96</v>
      </c>
      <c r="G47" s="163">
        <f>SUM(G48:G89)</f>
        <v>35669517.96</v>
      </c>
      <c r="H47" s="177">
        <f>SUM(H48:H89)</f>
        <v>8397784.610000001</v>
      </c>
      <c r="I47" s="225"/>
      <c r="J47" s="225"/>
      <c r="K47" s="225"/>
      <c r="L47" s="214">
        <f>H47/(O47+P47+Q47+R47+S47+T47+U47+V47+W47+X47)*100</f>
        <v>23.543308377246152</v>
      </c>
      <c r="M47" s="217"/>
      <c r="N47" s="220">
        <f t="shared" si="1"/>
        <v>27271733.35</v>
      </c>
      <c r="O47" s="201">
        <f>SUM(O48:O89)</f>
        <v>471102.4199999999</v>
      </c>
      <c r="P47" s="177">
        <f aca="true" t="shared" si="11" ref="P47:Y47">SUM(P48:P89)</f>
        <v>0</v>
      </c>
      <c r="Q47" s="177">
        <f t="shared" si="11"/>
        <v>0</v>
      </c>
      <c r="R47" s="177">
        <f t="shared" si="11"/>
        <v>446782.66</v>
      </c>
      <c r="S47" s="177">
        <f t="shared" si="11"/>
        <v>2622872.3</v>
      </c>
      <c r="T47" s="177">
        <f>SUM(T48:T89)</f>
        <v>1808135.9700000002</v>
      </c>
      <c r="U47" s="177">
        <f t="shared" si="11"/>
        <v>8541948.33</v>
      </c>
      <c r="V47" s="177">
        <f t="shared" si="11"/>
        <v>13598346.28</v>
      </c>
      <c r="W47" s="177">
        <f>SUM(W48:W89)</f>
        <v>7067000</v>
      </c>
      <c r="X47" s="177">
        <f t="shared" si="11"/>
        <v>1113330</v>
      </c>
      <c r="Y47" s="177">
        <f t="shared" si="11"/>
        <v>0</v>
      </c>
      <c r="Z47" s="177">
        <f>SUM(Z48:Z89)</f>
        <v>35669517.96</v>
      </c>
      <c r="AA47" s="232">
        <f>D47-Z47</f>
        <v>0</v>
      </c>
    </row>
    <row r="48" spans="1:27" s="131" customFormat="1" ht="37.5">
      <c r="A48" s="133"/>
      <c r="B48" s="159"/>
      <c r="C48" s="137" t="s">
        <v>402</v>
      </c>
      <c r="D48" s="160">
        <f aca="true" t="shared" si="12" ref="D48:D89">F48</f>
        <v>340716.12</v>
      </c>
      <c r="E48" s="130"/>
      <c r="F48" s="155">
        <f aca="true" t="shared" si="13" ref="F48:F89">G48</f>
        <v>340716.12</v>
      </c>
      <c r="G48" s="155">
        <f>49960.56+220755.56+70000</f>
        <v>340716.12</v>
      </c>
      <c r="H48" s="204">
        <f>49960.56+129808.8+1650.23</f>
        <v>181419.59</v>
      </c>
      <c r="I48" s="222"/>
      <c r="J48" s="222"/>
      <c r="K48" s="222"/>
      <c r="L48" s="209">
        <f>H48/(O48+P48+Q48+R48+S48+T48+U48+V48+W48+X48)*100</f>
        <v>53.24655317159635</v>
      </c>
      <c r="M48" s="216"/>
      <c r="N48" s="221">
        <f t="shared" si="1"/>
        <v>159296.53</v>
      </c>
      <c r="O48" s="202">
        <v>49960.56</v>
      </c>
      <c r="P48" s="174"/>
      <c r="Q48" s="174"/>
      <c r="R48" s="178">
        <v>100000</v>
      </c>
      <c r="S48" s="178">
        <v>120755.56</v>
      </c>
      <c r="T48" s="174"/>
      <c r="U48" s="174"/>
      <c r="V48" s="174"/>
      <c r="W48" s="174"/>
      <c r="X48" s="173">
        <f>70000</f>
        <v>70000</v>
      </c>
      <c r="Y48" s="174"/>
      <c r="Z48" s="182">
        <f>SUM(O48:Y48)</f>
        <v>340716.12</v>
      </c>
      <c r="AA48" s="232">
        <f aca="true" t="shared" si="14" ref="AA48:AA89">D48-Z48</f>
        <v>0</v>
      </c>
    </row>
    <row r="49" spans="1:27" s="131" customFormat="1" ht="37.5">
      <c r="A49" s="133"/>
      <c r="B49" s="159"/>
      <c r="C49" s="137" t="s">
        <v>403</v>
      </c>
      <c r="D49" s="160">
        <f t="shared" si="12"/>
        <v>207297.6</v>
      </c>
      <c r="E49" s="130"/>
      <c r="F49" s="155">
        <f t="shared" si="13"/>
        <v>207297.6</v>
      </c>
      <c r="G49" s="155">
        <f>8949.6+148000+348+50000</f>
        <v>207297.6</v>
      </c>
      <c r="H49" s="204">
        <f>348+8949.6+75342+87058+2772.48+1479.17</f>
        <v>175949.25000000003</v>
      </c>
      <c r="I49" s="222"/>
      <c r="J49" s="222"/>
      <c r="K49" s="222"/>
      <c r="L49" s="209">
        <f aca="true" t="shared" si="15" ref="L49:L88">H49/(O49+P49+Q49+R49+S49+T49+U49+V49+W49+X49)*100</f>
        <v>84.87761073934287</v>
      </c>
      <c r="M49" s="216"/>
      <c r="N49" s="221">
        <f t="shared" si="1"/>
        <v>31348.349999999977</v>
      </c>
      <c r="O49" s="202">
        <v>9297.6</v>
      </c>
      <c r="P49" s="174"/>
      <c r="Q49" s="174"/>
      <c r="R49" s="178">
        <v>50000</v>
      </c>
      <c r="S49" s="178">
        <v>50000</v>
      </c>
      <c r="T49" s="178">
        <v>48000</v>
      </c>
      <c r="U49" s="174"/>
      <c r="V49" s="173">
        <v>50000</v>
      </c>
      <c r="W49" s="174"/>
      <c r="X49" s="174"/>
      <c r="Y49" s="174"/>
      <c r="Z49" s="182">
        <f>SUM(O49:Y49)</f>
        <v>207297.6</v>
      </c>
      <c r="AA49" s="232">
        <f t="shared" si="14"/>
        <v>0</v>
      </c>
    </row>
    <row r="50" spans="1:27" s="131" customFormat="1" ht="37.5">
      <c r="A50" s="133"/>
      <c r="B50" s="159"/>
      <c r="C50" s="137" t="s">
        <v>253</v>
      </c>
      <c r="D50" s="155">
        <f t="shared" si="12"/>
        <v>9924</v>
      </c>
      <c r="E50" s="155"/>
      <c r="F50" s="155">
        <f t="shared" si="13"/>
        <v>9924</v>
      </c>
      <c r="G50" s="155">
        <v>9924</v>
      </c>
      <c r="H50" s="204">
        <v>9924</v>
      </c>
      <c r="I50" s="222"/>
      <c r="J50" s="222"/>
      <c r="K50" s="222"/>
      <c r="L50" s="209">
        <f t="shared" si="15"/>
        <v>100</v>
      </c>
      <c r="M50" s="216"/>
      <c r="N50" s="221">
        <f t="shared" si="1"/>
        <v>0</v>
      </c>
      <c r="O50" s="202">
        <v>9924</v>
      </c>
      <c r="P50" s="174"/>
      <c r="Q50" s="174"/>
      <c r="R50" s="174"/>
      <c r="S50" s="174"/>
      <c r="T50" s="174"/>
      <c r="U50" s="174"/>
      <c r="V50" s="174"/>
      <c r="W50" s="174"/>
      <c r="X50" s="174"/>
      <c r="Y50" s="174"/>
      <c r="Z50" s="182">
        <f t="shared" si="4"/>
        <v>9924</v>
      </c>
      <c r="AA50" s="232">
        <f t="shared" si="14"/>
        <v>0</v>
      </c>
    </row>
    <row r="51" spans="1:27" s="131" customFormat="1" ht="37.5">
      <c r="A51" s="133"/>
      <c r="B51" s="159"/>
      <c r="C51" s="137" t="s">
        <v>254</v>
      </c>
      <c r="D51" s="155">
        <f t="shared" si="12"/>
        <v>6499.4</v>
      </c>
      <c r="E51" s="155"/>
      <c r="F51" s="155">
        <f t="shared" si="13"/>
        <v>6499.4</v>
      </c>
      <c r="G51" s="155">
        <v>6499.4</v>
      </c>
      <c r="H51" s="204">
        <v>6499.4</v>
      </c>
      <c r="I51" s="222"/>
      <c r="J51" s="222"/>
      <c r="K51" s="222"/>
      <c r="L51" s="209">
        <f t="shared" si="15"/>
        <v>100</v>
      </c>
      <c r="M51" s="216"/>
      <c r="N51" s="221">
        <f t="shared" si="1"/>
        <v>0</v>
      </c>
      <c r="O51" s="202">
        <v>6499.4</v>
      </c>
      <c r="P51" s="174"/>
      <c r="Q51" s="174"/>
      <c r="R51" s="174"/>
      <c r="S51" s="174"/>
      <c r="T51" s="174"/>
      <c r="U51" s="174"/>
      <c r="V51" s="174"/>
      <c r="W51" s="174"/>
      <c r="X51" s="174"/>
      <c r="Y51" s="174"/>
      <c r="Z51" s="182">
        <f t="shared" si="4"/>
        <v>6499.4</v>
      </c>
      <c r="AA51" s="232">
        <f t="shared" si="14"/>
        <v>0</v>
      </c>
    </row>
    <row r="52" spans="1:27" s="131" customFormat="1" ht="37.5">
      <c r="A52" s="133"/>
      <c r="B52" s="159"/>
      <c r="C52" s="137" t="s">
        <v>255</v>
      </c>
      <c r="D52" s="155">
        <f t="shared" si="12"/>
        <v>27770.4</v>
      </c>
      <c r="E52" s="155"/>
      <c r="F52" s="155">
        <f t="shared" si="13"/>
        <v>27770.4</v>
      </c>
      <c r="G52" s="155">
        <v>27770.4</v>
      </c>
      <c r="H52" s="204">
        <v>27770.4</v>
      </c>
      <c r="I52" s="222"/>
      <c r="J52" s="222"/>
      <c r="K52" s="222"/>
      <c r="L52" s="209">
        <f t="shared" si="15"/>
        <v>100</v>
      </c>
      <c r="M52" s="216"/>
      <c r="N52" s="221">
        <f t="shared" si="1"/>
        <v>0</v>
      </c>
      <c r="O52" s="202">
        <v>27770.4</v>
      </c>
      <c r="P52" s="174"/>
      <c r="Q52" s="174"/>
      <c r="R52" s="174"/>
      <c r="S52" s="174"/>
      <c r="T52" s="174"/>
      <c r="U52" s="174"/>
      <c r="V52" s="174"/>
      <c r="W52" s="174"/>
      <c r="X52" s="174"/>
      <c r="Y52" s="174"/>
      <c r="Z52" s="182">
        <f t="shared" si="4"/>
        <v>27770.4</v>
      </c>
      <c r="AA52" s="232">
        <f t="shared" si="14"/>
        <v>0</v>
      </c>
    </row>
    <row r="53" spans="1:27" s="131" customFormat="1" ht="37.5">
      <c r="A53" s="133"/>
      <c r="B53" s="159"/>
      <c r="C53" s="137" t="s">
        <v>404</v>
      </c>
      <c r="D53" s="155">
        <f t="shared" si="12"/>
        <v>285769</v>
      </c>
      <c r="E53" s="155"/>
      <c r="F53" s="155">
        <f t="shared" si="13"/>
        <v>285769</v>
      </c>
      <c r="G53" s="155">
        <f>12769+273000</f>
        <v>285769</v>
      </c>
      <c r="H53" s="204">
        <f>12769+122436.5+118554.5+3568+3957.43+1479</f>
        <v>262764.43</v>
      </c>
      <c r="I53" s="222"/>
      <c r="J53" s="222"/>
      <c r="K53" s="222"/>
      <c r="L53" s="209">
        <f t="shared" si="15"/>
        <v>91.9499420860905</v>
      </c>
      <c r="M53" s="216"/>
      <c r="N53" s="221">
        <f t="shared" si="1"/>
        <v>23004.570000000007</v>
      </c>
      <c r="O53" s="202">
        <v>12769</v>
      </c>
      <c r="P53" s="174"/>
      <c r="Q53" s="174"/>
      <c r="R53" s="178">
        <v>90000</v>
      </c>
      <c r="S53" s="178">
        <v>90000</v>
      </c>
      <c r="T53" s="178">
        <v>93000</v>
      </c>
      <c r="U53" s="178"/>
      <c r="V53" s="174"/>
      <c r="W53" s="174"/>
      <c r="X53" s="174"/>
      <c r="Y53" s="174"/>
      <c r="Z53" s="182">
        <f t="shared" si="4"/>
        <v>285769</v>
      </c>
      <c r="AA53" s="232">
        <f t="shared" si="14"/>
        <v>0</v>
      </c>
    </row>
    <row r="54" spans="1:27" s="131" customFormat="1" ht="27.75" customHeight="1">
      <c r="A54" s="133"/>
      <c r="B54" s="159"/>
      <c r="C54" s="137" t="s">
        <v>405</v>
      </c>
      <c r="D54" s="155">
        <f t="shared" si="12"/>
        <v>299850</v>
      </c>
      <c r="E54" s="155"/>
      <c r="F54" s="155">
        <f t="shared" si="13"/>
        <v>299850</v>
      </c>
      <c r="G54" s="155">
        <f>99850+200000</f>
        <v>299850</v>
      </c>
      <c r="H54" s="204">
        <f>99850</f>
        <v>99850</v>
      </c>
      <c r="I54" s="222"/>
      <c r="J54" s="222"/>
      <c r="K54" s="222"/>
      <c r="L54" s="209">
        <f t="shared" si="15"/>
        <v>33.29998332499583</v>
      </c>
      <c r="M54" s="216"/>
      <c r="N54" s="221">
        <f t="shared" si="1"/>
        <v>200000</v>
      </c>
      <c r="O54" s="202">
        <v>99850</v>
      </c>
      <c r="P54" s="174"/>
      <c r="Q54" s="174"/>
      <c r="R54" s="174"/>
      <c r="S54" s="178">
        <v>70000</v>
      </c>
      <c r="T54" s="178"/>
      <c r="U54" s="178">
        <v>130000</v>
      </c>
      <c r="V54" s="174"/>
      <c r="W54" s="174"/>
      <c r="X54" s="174"/>
      <c r="Y54" s="174"/>
      <c r="Z54" s="182">
        <f t="shared" si="4"/>
        <v>299850</v>
      </c>
      <c r="AA54" s="232">
        <f t="shared" si="14"/>
        <v>0</v>
      </c>
    </row>
    <row r="55" spans="1:27" s="131" customFormat="1" ht="37.5">
      <c r="A55" s="133"/>
      <c r="B55" s="159"/>
      <c r="C55" s="137" t="s">
        <v>256</v>
      </c>
      <c r="D55" s="155">
        <f t="shared" si="12"/>
        <v>32192</v>
      </c>
      <c r="E55" s="155"/>
      <c r="F55" s="155">
        <f t="shared" si="13"/>
        <v>32192</v>
      </c>
      <c r="G55" s="155">
        <v>32192</v>
      </c>
      <c r="H55" s="204">
        <f>32192</f>
        <v>32192</v>
      </c>
      <c r="I55" s="222"/>
      <c r="J55" s="222"/>
      <c r="K55" s="222"/>
      <c r="L55" s="209">
        <f t="shared" si="15"/>
        <v>100</v>
      </c>
      <c r="M55" s="216"/>
      <c r="N55" s="221">
        <f t="shared" si="1"/>
        <v>0</v>
      </c>
      <c r="O55" s="202">
        <v>32192</v>
      </c>
      <c r="P55" s="174"/>
      <c r="Q55" s="174"/>
      <c r="R55" s="174"/>
      <c r="S55" s="174"/>
      <c r="T55" s="174"/>
      <c r="U55" s="174"/>
      <c r="V55" s="174"/>
      <c r="W55" s="174"/>
      <c r="X55" s="174"/>
      <c r="Y55" s="174"/>
      <c r="Z55" s="182">
        <f t="shared" si="4"/>
        <v>32192</v>
      </c>
      <c r="AA55" s="232">
        <f t="shared" si="14"/>
        <v>0</v>
      </c>
    </row>
    <row r="56" spans="1:27" s="131" customFormat="1" ht="37.5" customHeight="1">
      <c r="A56" s="133"/>
      <c r="B56" s="159"/>
      <c r="C56" s="137" t="s">
        <v>257</v>
      </c>
      <c r="D56" s="155">
        <f t="shared" si="12"/>
        <v>825.71</v>
      </c>
      <c r="E56" s="155"/>
      <c r="F56" s="155">
        <f t="shared" si="13"/>
        <v>825.71</v>
      </c>
      <c r="G56" s="155">
        <v>825.71</v>
      </c>
      <c r="H56" s="204">
        <v>825.71</v>
      </c>
      <c r="I56" s="222"/>
      <c r="J56" s="222"/>
      <c r="K56" s="222"/>
      <c r="L56" s="209">
        <f t="shared" si="15"/>
        <v>100</v>
      </c>
      <c r="M56" s="216"/>
      <c r="N56" s="221">
        <f t="shared" si="1"/>
        <v>0</v>
      </c>
      <c r="O56" s="202">
        <v>825.71</v>
      </c>
      <c r="P56" s="174"/>
      <c r="Q56" s="174"/>
      <c r="R56" s="174"/>
      <c r="S56" s="174"/>
      <c r="T56" s="174"/>
      <c r="U56" s="174"/>
      <c r="V56" s="174"/>
      <c r="W56" s="174"/>
      <c r="X56" s="174"/>
      <c r="Y56" s="174"/>
      <c r="Z56" s="182">
        <f t="shared" si="4"/>
        <v>825.71</v>
      </c>
      <c r="AA56" s="232">
        <f t="shared" si="14"/>
        <v>0</v>
      </c>
    </row>
    <row r="57" spans="1:27" s="131" customFormat="1" ht="37.5" customHeight="1">
      <c r="A57" s="133"/>
      <c r="B57" s="159"/>
      <c r="C57" s="137" t="s">
        <v>406</v>
      </c>
      <c r="D57" s="155">
        <f t="shared" si="12"/>
        <v>161325.71000000002</v>
      </c>
      <c r="E57" s="155"/>
      <c r="F57" s="155">
        <f t="shared" si="13"/>
        <v>161325.71000000002</v>
      </c>
      <c r="G57" s="155">
        <f>825.71+125500+35000</f>
        <v>161325.71000000002</v>
      </c>
      <c r="H57" s="204">
        <f>825.71+452.29</f>
        <v>1278</v>
      </c>
      <c r="I57" s="222"/>
      <c r="J57" s="222"/>
      <c r="K57" s="222"/>
      <c r="L57" s="209">
        <f t="shared" si="15"/>
        <v>0.7921861927649348</v>
      </c>
      <c r="M57" s="216"/>
      <c r="N57" s="221">
        <f t="shared" si="1"/>
        <v>160047.71000000002</v>
      </c>
      <c r="O57" s="202">
        <v>825.71</v>
      </c>
      <c r="P57" s="174"/>
      <c r="Q57" s="174"/>
      <c r="R57" s="174"/>
      <c r="S57" s="178">
        <v>87850</v>
      </c>
      <c r="T57" s="178">
        <v>37650</v>
      </c>
      <c r="U57" s="178"/>
      <c r="V57" s="178">
        <v>35000</v>
      </c>
      <c r="W57" s="174"/>
      <c r="X57" s="174"/>
      <c r="Y57" s="174"/>
      <c r="Z57" s="182">
        <f t="shared" si="4"/>
        <v>161325.71000000002</v>
      </c>
      <c r="AA57" s="232">
        <f t="shared" si="14"/>
        <v>0</v>
      </c>
    </row>
    <row r="58" spans="1:27" s="131" customFormat="1" ht="37.5" customHeight="1">
      <c r="A58" s="133"/>
      <c r="B58" s="159"/>
      <c r="C58" s="137" t="s">
        <v>258</v>
      </c>
      <c r="D58" s="155">
        <f t="shared" si="12"/>
        <v>825.71</v>
      </c>
      <c r="E58" s="155"/>
      <c r="F58" s="155">
        <f t="shared" si="13"/>
        <v>825.71</v>
      </c>
      <c r="G58" s="155">
        <v>825.71</v>
      </c>
      <c r="H58" s="204">
        <v>825.71</v>
      </c>
      <c r="I58" s="222"/>
      <c r="J58" s="222"/>
      <c r="K58" s="222"/>
      <c r="L58" s="209">
        <f t="shared" si="15"/>
        <v>100</v>
      </c>
      <c r="M58" s="216"/>
      <c r="N58" s="221">
        <f t="shared" si="1"/>
        <v>0</v>
      </c>
      <c r="O58" s="202">
        <v>825.71</v>
      </c>
      <c r="P58" s="174"/>
      <c r="Q58" s="174"/>
      <c r="R58" s="174"/>
      <c r="S58" s="174"/>
      <c r="T58" s="174"/>
      <c r="U58" s="174"/>
      <c r="V58" s="174"/>
      <c r="W58" s="174"/>
      <c r="X58" s="174"/>
      <c r="Y58" s="174"/>
      <c r="Z58" s="182">
        <f t="shared" si="4"/>
        <v>825.71</v>
      </c>
      <c r="AA58" s="232">
        <f t="shared" si="14"/>
        <v>0</v>
      </c>
    </row>
    <row r="59" spans="1:27" s="131" customFormat="1" ht="37.5" customHeight="1">
      <c r="A59" s="133"/>
      <c r="B59" s="159"/>
      <c r="C59" s="137" t="s">
        <v>407</v>
      </c>
      <c r="D59" s="155">
        <f t="shared" si="12"/>
        <v>137769.11</v>
      </c>
      <c r="E59" s="155"/>
      <c r="F59" s="155">
        <f t="shared" si="13"/>
        <v>137769.11</v>
      </c>
      <c r="G59" s="155">
        <f>95769.11+45000-3000</f>
        <v>137769.11</v>
      </c>
      <c r="H59" s="204">
        <f>95769.11+554.69</f>
        <v>96323.8</v>
      </c>
      <c r="I59" s="222"/>
      <c r="J59" s="222"/>
      <c r="K59" s="222"/>
      <c r="L59" s="209">
        <f t="shared" si="15"/>
        <v>69.91683404211584</v>
      </c>
      <c r="M59" s="216"/>
      <c r="N59" s="221">
        <f t="shared" si="1"/>
        <v>41445.30999999998</v>
      </c>
      <c r="O59" s="202">
        <v>95769.11</v>
      </c>
      <c r="P59" s="174"/>
      <c r="Q59" s="174"/>
      <c r="R59" s="178">
        <v>15000</v>
      </c>
      <c r="S59" s="178">
        <v>-3000</v>
      </c>
      <c r="T59" s="178">
        <v>30000</v>
      </c>
      <c r="U59" s="174"/>
      <c r="V59" s="174"/>
      <c r="W59" s="174"/>
      <c r="X59" s="174"/>
      <c r="Y59" s="174"/>
      <c r="Z59" s="182">
        <f t="shared" si="4"/>
        <v>137769.11</v>
      </c>
      <c r="AA59" s="232">
        <f t="shared" si="14"/>
        <v>0</v>
      </c>
    </row>
    <row r="60" spans="1:27" s="226" customFormat="1" ht="60" customHeight="1">
      <c r="A60" s="133"/>
      <c r="B60" s="159"/>
      <c r="C60" s="137" t="s">
        <v>0</v>
      </c>
      <c r="D60" s="155">
        <f t="shared" si="12"/>
        <v>363795</v>
      </c>
      <c r="E60" s="155"/>
      <c r="F60" s="155">
        <f t="shared" si="13"/>
        <v>363795</v>
      </c>
      <c r="G60" s="155">
        <f>11795+352000</f>
        <v>363795</v>
      </c>
      <c r="H60" s="204">
        <f>11795+333655+5391.71+1109</f>
        <v>351950.71</v>
      </c>
      <c r="I60" s="222"/>
      <c r="J60" s="222"/>
      <c r="K60" s="222"/>
      <c r="L60" s="209">
        <f t="shared" si="15"/>
        <v>96.74424057504915</v>
      </c>
      <c r="M60" s="216"/>
      <c r="N60" s="221">
        <f t="shared" si="1"/>
        <v>11844.289999999979</v>
      </c>
      <c r="O60" s="182">
        <v>11795</v>
      </c>
      <c r="P60" s="182"/>
      <c r="Q60" s="182"/>
      <c r="R60" s="182"/>
      <c r="S60" s="182">
        <v>200000</v>
      </c>
      <c r="T60" s="182">
        <v>152000</v>
      </c>
      <c r="U60" s="182"/>
      <c r="V60" s="182"/>
      <c r="W60" s="182"/>
      <c r="X60" s="182"/>
      <c r="Y60" s="182"/>
      <c r="Z60" s="182">
        <f t="shared" si="4"/>
        <v>363795</v>
      </c>
      <c r="AA60" s="232">
        <f t="shared" si="14"/>
        <v>0</v>
      </c>
    </row>
    <row r="61" spans="1:27" s="131" customFormat="1" ht="56.25" customHeight="1">
      <c r="A61" s="133"/>
      <c r="B61" s="159"/>
      <c r="C61" s="137" t="s">
        <v>408</v>
      </c>
      <c r="D61" s="155">
        <f t="shared" si="12"/>
        <v>886887.17</v>
      </c>
      <c r="E61" s="155"/>
      <c r="F61" s="155">
        <f t="shared" si="13"/>
        <v>886887.17</v>
      </c>
      <c r="G61" s="155">
        <f>108605.17+753000-743000+230000+538282</f>
        <v>886887.17</v>
      </c>
      <c r="H61" s="204">
        <f>108605.17+115000</f>
        <v>223605.16999999998</v>
      </c>
      <c r="I61" s="222"/>
      <c r="J61" s="222"/>
      <c r="K61" s="222"/>
      <c r="L61" s="209">
        <f t="shared" si="15"/>
        <v>25.2123581853146</v>
      </c>
      <c r="M61" s="216"/>
      <c r="N61" s="221">
        <f t="shared" si="1"/>
        <v>663282</v>
      </c>
      <c r="O61" s="202">
        <v>108605.17</v>
      </c>
      <c r="P61" s="174"/>
      <c r="Q61" s="174"/>
      <c r="R61" s="174"/>
      <c r="S61" s="178">
        <v>10000</v>
      </c>
      <c r="T61" s="174"/>
      <c r="U61" s="174"/>
      <c r="V61" s="178">
        <v>230000</v>
      </c>
      <c r="W61" s="174"/>
      <c r="X61" s="178">
        <f>538282</f>
        <v>538282</v>
      </c>
      <c r="Y61" s="174"/>
      <c r="Z61" s="182">
        <f t="shared" si="4"/>
        <v>886887.1699999999</v>
      </c>
      <c r="AA61" s="232">
        <f t="shared" si="14"/>
        <v>0</v>
      </c>
    </row>
    <row r="62" spans="1:27" s="131" customFormat="1" ht="37.5" customHeight="1">
      <c r="A62" s="133"/>
      <c r="B62" s="159"/>
      <c r="C62" s="137" t="s">
        <v>409</v>
      </c>
      <c r="D62" s="155">
        <f t="shared" si="12"/>
        <v>476293.05</v>
      </c>
      <c r="E62" s="155"/>
      <c r="F62" s="155">
        <f t="shared" si="13"/>
        <v>476293.05</v>
      </c>
      <c r="G62" s="155">
        <f>4193.05+2100+470000</f>
        <v>476293.05</v>
      </c>
      <c r="H62" s="204">
        <f>4193.05+2051.95+226060+233314.52+1479</f>
        <v>467098.52</v>
      </c>
      <c r="I62" s="222"/>
      <c r="J62" s="222"/>
      <c r="K62" s="222"/>
      <c r="L62" s="209">
        <f t="shared" si="15"/>
        <v>98.0695645254534</v>
      </c>
      <c r="M62" s="216"/>
      <c r="N62" s="221">
        <f t="shared" si="1"/>
        <v>9194.52999999997</v>
      </c>
      <c r="O62" s="202">
        <v>4193.05</v>
      </c>
      <c r="P62" s="174"/>
      <c r="Q62" s="174"/>
      <c r="R62" s="178">
        <v>2100</v>
      </c>
      <c r="S62" s="174"/>
      <c r="T62" s="174"/>
      <c r="U62" s="174"/>
      <c r="V62" s="178">
        <v>470000</v>
      </c>
      <c r="W62" s="178"/>
      <c r="X62" s="178"/>
      <c r="Y62" s="178"/>
      <c r="Z62" s="182">
        <f t="shared" si="4"/>
        <v>476293.05</v>
      </c>
      <c r="AA62" s="232">
        <f t="shared" si="14"/>
        <v>0</v>
      </c>
    </row>
    <row r="63" spans="1:27" s="131" customFormat="1" ht="18.75" hidden="1">
      <c r="A63" s="138"/>
      <c r="B63" s="138"/>
      <c r="C63" s="137"/>
      <c r="D63" s="155">
        <f t="shared" si="12"/>
        <v>0</v>
      </c>
      <c r="E63" s="155"/>
      <c r="F63" s="155">
        <f t="shared" si="13"/>
        <v>0</v>
      </c>
      <c r="G63" s="155"/>
      <c r="H63" s="204"/>
      <c r="I63" s="222"/>
      <c r="J63" s="222"/>
      <c r="K63" s="222"/>
      <c r="L63" s="209" t="e">
        <f t="shared" si="15"/>
        <v>#DIV/0!</v>
      </c>
      <c r="M63" s="216"/>
      <c r="N63" s="221">
        <f t="shared" si="1"/>
        <v>0</v>
      </c>
      <c r="O63" s="188"/>
      <c r="P63" s="174"/>
      <c r="Q63" s="174"/>
      <c r="R63" s="174"/>
      <c r="S63" s="174"/>
      <c r="T63" s="174"/>
      <c r="U63" s="174"/>
      <c r="V63" s="178"/>
      <c r="W63" s="178"/>
      <c r="X63" s="178"/>
      <c r="Y63" s="178"/>
      <c r="Z63" s="182">
        <f t="shared" si="4"/>
        <v>0</v>
      </c>
      <c r="AA63" s="232">
        <f t="shared" si="14"/>
        <v>0</v>
      </c>
    </row>
    <row r="64" spans="1:27" s="131" customFormat="1" ht="26.25" customHeight="1">
      <c r="A64" s="138"/>
      <c r="B64" s="138"/>
      <c r="C64" s="137" t="s">
        <v>120</v>
      </c>
      <c r="D64" s="155">
        <f t="shared" si="12"/>
        <v>885000</v>
      </c>
      <c r="E64" s="155"/>
      <c r="F64" s="155">
        <f t="shared" si="13"/>
        <v>885000</v>
      </c>
      <c r="G64" s="155">
        <f>185000+700000</f>
        <v>885000</v>
      </c>
      <c r="H64" s="204"/>
      <c r="I64" s="222"/>
      <c r="J64" s="222"/>
      <c r="K64" s="222"/>
      <c r="L64" s="209"/>
      <c r="M64" s="216"/>
      <c r="N64" s="221">
        <f t="shared" si="1"/>
        <v>885000</v>
      </c>
      <c r="O64" s="202"/>
      <c r="P64" s="178"/>
      <c r="Q64" s="178"/>
      <c r="R64" s="178"/>
      <c r="S64" s="178">
        <v>185000</v>
      </c>
      <c r="T64" s="178"/>
      <c r="U64" s="178"/>
      <c r="V64" s="178"/>
      <c r="W64" s="178"/>
      <c r="X64" s="178">
        <v>700000</v>
      </c>
      <c r="Y64" s="178"/>
      <c r="Z64" s="182">
        <f t="shared" si="4"/>
        <v>885000</v>
      </c>
      <c r="AA64" s="232">
        <f t="shared" si="14"/>
        <v>0</v>
      </c>
    </row>
    <row r="65" spans="1:27" s="131" customFormat="1" ht="25.5" customHeight="1">
      <c r="A65" s="138"/>
      <c r="B65" s="138"/>
      <c r="C65" s="137" t="s">
        <v>279</v>
      </c>
      <c r="D65" s="155">
        <f t="shared" si="12"/>
        <v>200000</v>
      </c>
      <c r="E65" s="155"/>
      <c r="F65" s="155">
        <f t="shared" si="13"/>
        <v>200000</v>
      </c>
      <c r="G65" s="155">
        <f>200000</f>
        <v>200000</v>
      </c>
      <c r="H65" s="204"/>
      <c r="I65" s="222"/>
      <c r="J65" s="222"/>
      <c r="K65" s="222"/>
      <c r="L65" s="209"/>
      <c r="M65" s="216"/>
      <c r="N65" s="221">
        <f t="shared" si="1"/>
        <v>200000</v>
      </c>
      <c r="O65" s="202"/>
      <c r="P65" s="178"/>
      <c r="Q65" s="178"/>
      <c r="R65" s="178"/>
      <c r="S65" s="178"/>
      <c r="T65" s="178"/>
      <c r="U65" s="178">
        <v>100000</v>
      </c>
      <c r="V65" s="178">
        <v>100000</v>
      </c>
      <c r="W65" s="178"/>
      <c r="X65" s="178"/>
      <c r="Y65" s="178"/>
      <c r="Z65" s="182">
        <f t="shared" si="4"/>
        <v>200000</v>
      </c>
      <c r="AA65" s="232">
        <f t="shared" si="14"/>
        <v>0</v>
      </c>
    </row>
    <row r="66" spans="1:27" s="131" customFormat="1" ht="18.75">
      <c r="A66" s="138"/>
      <c r="B66" s="138"/>
      <c r="C66" s="137" t="s">
        <v>410</v>
      </c>
      <c r="D66" s="155">
        <f t="shared" si="12"/>
        <v>5800000</v>
      </c>
      <c r="E66" s="155"/>
      <c r="F66" s="155">
        <f t="shared" si="13"/>
        <v>5800000</v>
      </c>
      <c r="G66" s="155">
        <f>2300000+3500000</f>
        <v>5800000</v>
      </c>
      <c r="H66" s="204">
        <v>12525.6</v>
      </c>
      <c r="I66" s="222"/>
      <c r="J66" s="222"/>
      <c r="K66" s="222"/>
      <c r="L66" s="209">
        <f t="shared" si="15"/>
        <v>0.21595862068965518</v>
      </c>
      <c r="M66" s="216"/>
      <c r="N66" s="221">
        <f t="shared" si="1"/>
        <v>5787474.4</v>
      </c>
      <c r="O66" s="202"/>
      <c r="P66" s="178"/>
      <c r="Q66" s="178"/>
      <c r="R66" s="178"/>
      <c r="S66" s="178">
        <v>760000</v>
      </c>
      <c r="T66" s="178">
        <v>760000</v>
      </c>
      <c r="U66" s="178">
        <f>780000+1750000</f>
        <v>2530000</v>
      </c>
      <c r="V66" s="178">
        <f>1750000</f>
        <v>1750000</v>
      </c>
      <c r="W66" s="178"/>
      <c r="X66" s="178"/>
      <c r="Y66" s="178"/>
      <c r="Z66" s="182">
        <f t="shared" si="4"/>
        <v>5800000</v>
      </c>
      <c r="AA66" s="232">
        <f t="shared" si="14"/>
        <v>0</v>
      </c>
    </row>
    <row r="67" spans="1:27" s="131" customFormat="1" ht="37.5">
      <c r="A67" s="138"/>
      <c r="B67" s="138"/>
      <c r="C67" s="137" t="s">
        <v>411</v>
      </c>
      <c r="D67" s="155">
        <f t="shared" si="12"/>
        <v>1536186.2</v>
      </c>
      <c r="E67" s="155"/>
      <c r="F67" s="155">
        <f t="shared" si="13"/>
        <v>1536186.2</v>
      </c>
      <c r="G67" s="155">
        <f>100000+1121000+315186.2</f>
        <v>1536186.2</v>
      </c>
      <c r="H67" s="204">
        <f>1040.4+118154.1-118154.1+118154.1</f>
        <v>119194.5</v>
      </c>
      <c r="I67" s="222"/>
      <c r="J67" s="222"/>
      <c r="K67" s="222"/>
      <c r="L67" s="209">
        <f t="shared" si="15"/>
        <v>7.7591180027525315</v>
      </c>
      <c r="M67" s="216"/>
      <c r="N67" s="221">
        <f t="shared" si="1"/>
        <v>1416991.7</v>
      </c>
      <c r="O67" s="202"/>
      <c r="P67" s="178"/>
      <c r="Q67" s="178"/>
      <c r="R67" s="178"/>
      <c r="S67" s="178">
        <v>30000</v>
      </c>
      <c r="T67" s="178"/>
      <c r="U67" s="178">
        <v>70000</v>
      </c>
      <c r="V67" s="178">
        <v>1121000</v>
      </c>
      <c r="W67" s="178">
        <f>315186.2</f>
        <v>315186.2</v>
      </c>
      <c r="X67" s="178"/>
      <c r="Y67" s="178"/>
      <c r="Z67" s="182">
        <f t="shared" si="4"/>
        <v>1536186.2</v>
      </c>
      <c r="AA67" s="232">
        <f t="shared" si="14"/>
        <v>0</v>
      </c>
    </row>
    <row r="68" spans="1:27" s="131" customFormat="1" ht="37.5">
      <c r="A68" s="138"/>
      <c r="B68" s="138"/>
      <c r="C68" s="137" t="s">
        <v>412</v>
      </c>
      <c r="D68" s="155">
        <f t="shared" si="12"/>
        <v>1505280.2</v>
      </c>
      <c r="E68" s="155"/>
      <c r="F68" s="155">
        <f t="shared" si="13"/>
        <v>1505280.2</v>
      </c>
      <c r="G68" s="155">
        <f>100000+1481000-75719.8</f>
        <v>1505280.2</v>
      </c>
      <c r="H68" s="204">
        <f>1038+118724.46-118724.46+118724.46+498353.95</f>
        <v>618116.41</v>
      </c>
      <c r="I68" s="222"/>
      <c r="J68" s="222"/>
      <c r="K68" s="222"/>
      <c r="L68" s="209">
        <f t="shared" si="15"/>
        <v>41.06321268292774</v>
      </c>
      <c r="M68" s="216"/>
      <c r="N68" s="221">
        <f t="shared" si="1"/>
        <v>887163.7899999999</v>
      </c>
      <c r="O68" s="202"/>
      <c r="P68" s="178"/>
      <c r="Q68" s="178"/>
      <c r="R68" s="178"/>
      <c r="S68" s="178">
        <v>29000</v>
      </c>
      <c r="T68" s="178"/>
      <c r="U68" s="178">
        <v>71000</v>
      </c>
      <c r="V68" s="178">
        <f>1481000-300000</f>
        <v>1181000</v>
      </c>
      <c r="W68" s="178">
        <f>-75719.8</f>
        <v>-75719.8</v>
      </c>
      <c r="X68" s="178">
        <v>300000</v>
      </c>
      <c r="Y68" s="178"/>
      <c r="Z68" s="182">
        <f t="shared" si="4"/>
        <v>1505280.2</v>
      </c>
      <c r="AA68" s="232">
        <f t="shared" si="14"/>
        <v>0</v>
      </c>
    </row>
    <row r="69" spans="1:27" s="131" customFormat="1" ht="37.5">
      <c r="A69" s="138"/>
      <c r="B69" s="138"/>
      <c r="C69" s="137" t="s">
        <v>413</v>
      </c>
      <c r="D69" s="155">
        <f t="shared" si="12"/>
        <v>4021130.6</v>
      </c>
      <c r="E69" s="155"/>
      <c r="F69" s="155">
        <f t="shared" si="13"/>
        <v>4021130.6</v>
      </c>
      <c r="G69" s="155">
        <f>100000+3641000+280130.6</f>
        <v>4021130.6</v>
      </c>
      <c r="H69" s="204">
        <f>1365.6+310558.86-310558.86+310558.86+215426.4+4028.87</f>
        <v>531379.73</v>
      </c>
      <c r="I69" s="222"/>
      <c r="J69" s="222"/>
      <c r="K69" s="222"/>
      <c r="L69" s="209">
        <f t="shared" si="15"/>
        <v>13.214684695891249</v>
      </c>
      <c r="M69" s="216"/>
      <c r="N69" s="221">
        <f t="shared" si="1"/>
        <v>3489750.87</v>
      </c>
      <c r="O69" s="202"/>
      <c r="P69" s="178"/>
      <c r="Q69" s="178"/>
      <c r="R69" s="178"/>
      <c r="S69" s="178">
        <v>10000</v>
      </c>
      <c r="T69" s="178"/>
      <c r="U69" s="178">
        <f>90000+1820500</f>
        <v>1910500</v>
      </c>
      <c r="V69" s="178">
        <f>1820500</f>
        <v>1820500</v>
      </c>
      <c r="W69" s="178">
        <f>280130.6</f>
        <v>280130.6</v>
      </c>
      <c r="X69" s="178"/>
      <c r="Y69" s="178"/>
      <c r="Z69" s="182">
        <f t="shared" si="4"/>
        <v>4021130.6</v>
      </c>
      <c r="AA69" s="232">
        <f t="shared" si="14"/>
        <v>0</v>
      </c>
    </row>
    <row r="70" spans="1:27" s="131" customFormat="1" ht="37.5">
      <c r="A70" s="138"/>
      <c r="B70" s="138"/>
      <c r="C70" s="137" t="s">
        <v>414</v>
      </c>
      <c r="D70" s="155">
        <f t="shared" si="12"/>
        <v>1194002.8</v>
      </c>
      <c r="E70" s="155"/>
      <c r="F70" s="155">
        <f t="shared" si="13"/>
        <v>1194002.8</v>
      </c>
      <c r="G70" s="155">
        <f>100000+1526000-431997.2</f>
        <v>1194002.8</v>
      </c>
      <c r="H70" s="204">
        <f>1004.4+85848.54-85848.54+85848.54</f>
        <v>86852.93999999999</v>
      </c>
      <c r="I70" s="222"/>
      <c r="J70" s="222"/>
      <c r="K70" s="222"/>
      <c r="L70" s="209">
        <f t="shared" si="15"/>
        <v>7.274098519701963</v>
      </c>
      <c r="M70" s="216"/>
      <c r="N70" s="221">
        <f t="shared" si="1"/>
        <v>1107149.86</v>
      </c>
      <c r="O70" s="202"/>
      <c r="P70" s="178"/>
      <c r="Q70" s="178"/>
      <c r="R70" s="178"/>
      <c r="S70" s="178">
        <v>55000</v>
      </c>
      <c r="T70" s="178"/>
      <c r="U70" s="178">
        <v>45000</v>
      </c>
      <c r="V70" s="178">
        <v>1526000</v>
      </c>
      <c r="W70" s="178">
        <v>-431997.2</v>
      </c>
      <c r="X70" s="178"/>
      <c r="Y70" s="178"/>
      <c r="Z70" s="182">
        <f t="shared" si="4"/>
        <v>1194002.8</v>
      </c>
      <c r="AA70" s="232">
        <f t="shared" si="14"/>
        <v>0</v>
      </c>
    </row>
    <row r="71" spans="1:27" s="131" customFormat="1" ht="37.5">
      <c r="A71" s="138"/>
      <c r="B71" s="138"/>
      <c r="C71" s="137" t="s">
        <v>415</v>
      </c>
      <c r="D71" s="155">
        <f t="shared" si="12"/>
        <v>3058980.6</v>
      </c>
      <c r="E71" s="155"/>
      <c r="F71" s="155">
        <f t="shared" si="13"/>
        <v>3058980.6</v>
      </c>
      <c r="G71" s="155">
        <f>100000+2000000+2241000-1282019.4</f>
        <v>3058980.6</v>
      </c>
      <c r="H71" s="204">
        <f>1239.6+259794.12-259794.12+259794.12</f>
        <v>261033.72</v>
      </c>
      <c r="I71" s="222"/>
      <c r="J71" s="222"/>
      <c r="K71" s="222"/>
      <c r="L71" s="209">
        <f t="shared" si="15"/>
        <v>8.533356504451188</v>
      </c>
      <c r="M71" s="216"/>
      <c r="N71" s="221">
        <f t="shared" si="1"/>
        <v>2797946.88</v>
      </c>
      <c r="O71" s="202"/>
      <c r="P71" s="178"/>
      <c r="Q71" s="178"/>
      <c r="R71" s="178"/>
      <c r="S71" s="178">
        <v>20000</v>
      </c>
      <c r="T71" s="178"/>
      <c r="U71" s="178">
        <f>80000+1000000</f>
        <v>1080000</v>
      </c>
      <c r="V71" s="178">
        <f>1000000+2241000</f>
        <v>3241000</v>
      </c>
      <c r="W71" s="178">
        <v>-1282019.4</v>
      </c>
      <c r="X71" s="178"/>
      <c r="Y71" s="178"/>
      <c r="Z71" s="182">
        <f t="shared" si="4"/>
        <v>3058980.6</v>
      </c>
      <c r="AA71" s="232">
        <f t="shared" si="14"/>
        <v>0</v>
      </c>
    </row>
    <row r="72" spans="1:27" s="131" customFormat="1" ht="37.5">
      <c r="A72" s="138"/>
      <c r="B72" s="138"/>
      <c r="C72" s="137" t="s">
        <v>416</v>
      </c>
      <c r="D72" s="155">
        <f t="shared" si="12"/>
        <v>2192168.6</v>
      </c>
      <c r="E72" s="155"/>
      <c r="F72" s="155">
        <f t="shared" si="13"/>
        <v>2192168.6</v>
      </c>
      <c r="G72" s="155">
        <f>100000+2858000-765831.4</f>
        <v>2192168.6</v>
      </c>
      <c r="H72" s="204">
        <f>1128+146217.48-146217.48+146217.48+179202+1502.3</f>
        <v>328049.77999999997</v>
      </c>
      <c r="I72" s="222"/>
      <c r="J72" s="222"/>
      <c r="K72" s="222"/>
      <c r="L72" s="209">
        <f t="shared" si="15"/>
        <v>14.964623615172663</v>
      </c>
      <c r="M72" s="216"/>
      <c r="N72" s="221">
        <f>O72+P72+Q72+R72+S72+T72+U72+V72+W72+X72-H72</f>
        <v>1864118.82</v>
      </c>
      <c r="O72" s="202"/>
      <c r="P72" s="178"/>
      <c r="Q72" s="178"/>
      <c r="R72" s="178"/>
      <c r="S72" s="178">
        <v>20000</v>
      </c>
      <c r="T72" s="178"/>
      <c r="U72" s="178">
        <f>80000+1429000</f>
        <v>1509000</v>
      </c>
      <c r="V72" s="178">
        <f>1429000</f>
        <v>1429000</v>
      </c>
      <c r="W72" s="178">
        <v>-765831.4</v>
      </c>
      <c r="X72" s="178"/>
      <c r="Y72" s="178"/>
      <c r="Z72" s="182">
        <f t="shared" si="4"/>
        <v>2192168.6</v>
      </c>
      <c r="AA72" s="232">
        <f t="shared" si="14"/>
        <v>0</v>
      </c>
    </row>
    <row r="73" spans="1:27" s="131" customFormat="1" ht="18.75">
      <c r="A73" s="138"/>
      <c r="B73" s="138"/>
      <c r="C73" s="137" t="s">
        <v>417</v>
      </c>
      <c r="D73" s="155">
        <f t="shared" si="12"/>
        <v>6419330</v>
      </c>
      <c r="E73" s="155"/>
      <c r="F73" s="155">
        <f t="shared" si="13"/>
        <v>6419330</v>
      </c>
      <c r="G73" s="155">
        <f>200000+6957000-737670</f>
        <v>6419330</v>
      </c>
      <c r="H73" s="204">
        <f>9087-5997+1281.6+2934883.5</f>
        <v>2939255.1</v>
      </c>
      <c r="I73" s="222"/>
      <c r="J73" s="222"/>
      <c r="K73" s="222"/>
      <c r="L73" s="209">
        <f t="shared" si="15"/>
        <v>45.78756817300248</v>
      </c>
      <c r="M73" s="216"/>
      <c r="N73" s="221">
        <f>O73+P73+Q73+R73+S73+T73+U73+V73+W73+X73-H73</f>
        <v>3480074.9</v>
      </c>
      <c r="O73" s="202"/>
      <c r="P73" s="178"/>
      <c r="Q73" s="178"/>
      <c r="R73" s="178"/>
      <c r="S73" s="178">
        <v>10000</v>
      </c>
      <c r="T73" s="178"/>
      <c r="U73" s="178">
        <v>190000</v>
      </c>
      <c r="V73" s="178"/>
      <c r="W73" s="178">
        <f>6957000</f>
        <v>6957000</v>
      </c>
      <c r="X73" s="178">
        <v>-737670</v>
      </c>
      <c r="Y73" s="178"/>
      <c r="Z73" s="182">
        <f t="shared" si="4"/>
        <v>6419330</v>
      </c>
      <c r="AA73" s="232">
        <f t="shared" si="14"/>
        <v>0</v>
      </c>
    </row>
    <row r="74" spans="1:27" s="131" customFormat="1" ht="18.75">
      <c r="A74" s="138"/>
      <c r="B74" s="138"/>
      <c r="C74" s="137" t="s">
        <v>418</v>
      </c>
      <c r="D74" s="155">
        <f t="shared" si="12"/>
        <v>12893.28</v>
      </c>
      <c r="E74" s="155"/>
      <c r="F74" s="155">
        <f t="shared" si="13"/>
        <v>12893.28</v>
      </c>
      <c r="G74" s="155">
        <v>12893.28</v>
      </c>
      <c r="H74" s="204"/>
      <c r="I74" s="222"/>
      <c r="J74" s="222"/>
      <c r="K74" s="222"/>
      <c r="L74" s="209"/>
      <c r="M74" s="216"/>
      <c r="N74" s="221">
        <f>O74+P74+Q74+R74+S74+T74+U74+V74+W74+X74-H74</f>
        <v>12893.28</v>
      </c>
      <c r="O74" s="202"/>
      <c r="P74" s="178"/>
      <c r="Q74" s="178"/>
      <c r="R74" s="178"/>
      <c r="S74" s="178"/>
      <c r="T74" s="178"/>
      <c r="U74" s="178"/>
      <c r="V74" s="178">
        <v>12893.28</v>
      </c>
      <c r="W74" s="178"/>
      <c r="X74" s="178"/>
      <c r="Y74" s="178"/>
      <c r="Z74" s="182">
        <f t="shared" si="4"/>
        <v>12893.28</v>
      </c>
      <c r="AA74" s="232">
        <f t="shared" si="14"/>
        <v>0</v>
      </c>
    </row>
    <row r="75" spans="1:27" s="131" customFormat="1" ht="37.5">
      <c r="A75" s="138"/>
      <c r="B75" s="138"/>
      <c r="C75" s="137" t="s">
        <v>419</v>
      </c>
      <c r="D75" s="155">
        <f t="shared" si="12"/>
        <v>114998.6</v>
      </c>
      <c r="E75" s="155"/>
      <c r="F75" s="155">
        <f t="shared" si="13"/>
        <v>114998.6</v>
      </c>
      <c r="G75" s="155">
        <v>114998.6</v>
      </c>
      <c r="H75" s="204"/>
      <c r="I75" s="222"/>
      <c r="J75" s="222"/>
      <c r="K75" s="222"/>
      <c r="L75" s="209"/>
      <c r="M75" s="216"/>
      <c r="N75" s="221">
        <f>O75+P75+Q75+R75+S75+T75+U75+V75+W75+X75-H75</f>
        <v>114998.6</v>
      </c>
      <c r="O75" s="202"/>
      <c r="P75" s="178"/>
      <c r="Q75" s="178"/>
      <c r="R75" s="178"/>
      <c r="S75" s="178"/>
      <c r="T75" s="178">
        <v>60000</v>
      </c>
      <c r="U75" s="178">
        <v>54998.6</v>
      </c>
      <c r="V75" s="178"/>
      <c r="W75" s="178"/>
      <c r="X75" s="178"/>
      <c r="Y75" s="178"/>
      <c r="Z75" s="182">
        <f aca="true" t="shared" si="16" ref="Z75:Z92">SUM(O75:Y75)</f>
        <v>114998.6</v>
      </c>
      <c r="AA75" s="232">
        <f t="shared" si="14"/>
        <v>0</v>
      </c>
    </row>
    <row r="76" spans="1:27" s="131" customFormat="1" ht="37.5">
      <c r="A76" s="138"/>
      <c r="B76" s="138"/>
      <c r="C76" s="137" t="s">
        <v>420</v>
      </c>
      <c r="D76" s="155">
        <f t="shared" si="12"/>
        <v>30214.729999999996</v>
      </c>
      <c r="E76" s="155"/>
      <c r="F76" s="155">
        <f t="shared" si="13"/>
        <v>30214.729999999996</v>
      </c>
      <c r="G76" s="155">
        <f>117496.73-62282-25000</f>
        <v>30214.729999999996</v>
      </c>
      <c r="H76" s="204"/>
      <c r="I76" s="222"/>
      <c r="J76" s="222"/>
      <c r="K76" s="222"/>
      <c r="L76" s="209"/>
      <c r="M76" s="216"/>
      <c r="N76" s="221">
        <f>O76+P76+Q76+R76+S76+T76+U76+V76+W76+X76-H76</f>
        <v>30214.73000000001</v>
      </c>
      <c r="O76" s="202"/>
      <c r="P76" s="178"/>
      <c r="Q76" s="178"/>
      <c r="R76" s="178"/>
      <c r="S76" s="178"/>
      <c r="T76" s="178">
        <v>60000</v>
      </c>
      <c r="U76" s="178">
        <v>57496.73</v>
      </c>
      <c r="V76" s="178"/>
      <c r="W76" s="178"/>
      <c r="X76" s="178">
        <f>-62282-25000</f>
        <v>-87282</v>
      </c>
      <c r="Y76" s="178"/>
      <c r="Z76" s="182">
        <f t="shared" si="16"/>
        <v>30214.73000000001</v>
      </c>
      <c r="AA76" s="232">
        <f t="shared" si="14"/>
        <v>0</v>
      </c>
    </row>
    <row r="77" spans="1:27" s="131" customFormat="1" ht="18.75">
      <c r="A77" s="138"/>
      <c r="B77" s="138"/>
      <c r="C77" s="137" t="s">
        <v>421</v>
      </c>
      <c r="D77" s="155">
        <f t="shared" si="12"/>
        <v>300611.39</v>
      </c>
      <c r="E77" s="155"/>
      <c r="F77" s="155">
        <f t="shared" si="13"/>
        <v>300611.39</v>
      </c>
      <c r="G77" s="155">
        <f>310611.39-10000</f>
        <v>300611.39</v>
      </c>
      <c r="H77" s="204">
        <f>146584.2+151215.36+852</f>
        <v>298651.56</v>
      </c>
      <c r="I77" s="222"/>
      <c r="J77" s="222"/>
      <c r="K77" s="222"/>
      <c r="L77" s="209">
        <f t="shared" si="15"/>
        <v>99.3480519816631</v>
      </c>
      <c r="M77" s="216"/>
      <c r="N77" s="221">
        <f>O77+P77+Q77+R77+S77+T77+U77+V77+W77+X77-H77</f>
        <v>1959.8300000000163</v>
      </c>
      <c r="O77" s="202"/>
      <c r="P77" s="178"/>
      <c r="Q77" s="178"/>
      <c r="R77" s="178"/>
      <c r="S77" s="178">
        <v>155000</v>
      </c>
      <c r="T77" s="178">
        <v>155611.39</v>
      </c>
      <c r="U77" s="178"/>
      <c r="V77" s="178"/>
      <c r="W77" s="178"/>
      <c r="X77" s="178">
        <v>-10000</v>
      </c>
      <c r="Y77" s="178"/>
      <c r="Z77" s="182">
        <f t="shared" si="16"/>
        <v>300611.39</v>
      </c>
      <c r="AA77" s="232">
        <f t="shared" si="14"/>
        <v>0</v>
      </c>
    </row>
    <row r="78" spans="1:27" s="131" customFormat="1" ht="37.5">
      <c r="A78" s="138"/>
      <c r="B78" s="138"/>
      <c r="C78" s="137" t="s">
        <v>280</v>
      </c>
      <c r="D78" s="155">
        <f t="shared" si="12"/>
        <v>2060251</v>
      </c>
      <c r="E78" s="155"/>
      <c r="F78" s="155">
        <f t="shared" si="13"/>
        <v>2060251</v>
      </c>
      <c r="G78" s="155">
        <f>100000+1960251</f>
        <v>2060251</v>
      </c>
      <c r="H78" s="204">
        <f>1334.4</f>
        <v>1334.4</v>
      </c>
      <c r="I78" s="222"/>
      <c r="J78" s="222"/>
      <c r="K78" s="222"/>
      <c r="L78" s="209">
        <f t="shared" si="15"/>
        <v>0.06476880729581008</v>
      </c>
      <c r="M78" s="216"/>
      <c r="N78" s="221">
        <f>O78+P78+Q78+R78+S78+T78+U78+V78+W78+X78-H78</f>
        <v>2058916.6</v>
      </c>
      <c r="O78" s="202"/>
      <c r="P78" s="178"/>
      <c r="Q78" s="178"/>
      <c r="R78" s="178"/>
      <c r="S78" s="178">
        <v>30000</v>
      </c>
      <c r="T78" s="178"/>
      <c r="U78" s="178">
        <v>70000</v>
      </c>
      <c r="V78" s="178"/>
      <c r="W78" s="178">
        <v>1960251</v>
      </c>
      <c r="X78" s="178"/>
      <c r="Y78" s="178"/>
      <c r="Z78" s="182">
        <f t="shared" si="16"/>
        <v>2060251</v>
      </c>
      <c r="AA78" s="232">
        <f t="shared" si="14"/>
        <v>0</v>
      </c>
    </row>
    <row r="79" spans="1:27" s="131" customFormat="1" ht="37.5">
      <c r="A79" s="138"/>
      <c r="B79" s="138"/>
      <c r="C79" s="137" t="s">
        <v>422</v>
      </c>
      <c r="D79" s="155">
        <f t="shared" si="12"/>
        <v>11780</v>
      </c>
      <c r="E79" s="155"/>
      <c r="F79" s="155">
        <f t="shared" si="13"/>
        <v>11780</v>
      </c>
      <c r="G79" s="155">
        <v>11780</v>
      </c>
      <c r="H79" s="204"/>
      <c r="I79" s="222"/>
      <c r="J79" s="222"/>
      <c r="K79" s="222"/>
      <c r="L79" s="209"/>
      <c r="M79" s="216"/>
      <c r="N79" s="221">
        <f>O79+P79+Q79+R79+S79+T79+U79+V79+W79+X79-H79</f>
        <v>11780</v>
      </c>
      <c r="O79" s="202"/>
      <c r="P79" s="178"/>
      <c r="Q79" s="178"/>
      <c r="R79" s="178">
        <v>11780</v>
      </c>
      <c r="S79" s="178"/>
      <c r="T79" s="178"/>
      <c r="U79" s="178"/>
      <c r="V79" s="178"/>
      <c r="W79" s="178"/>
      <c r="X79" s="178"/>
      <c r="Y79" s="178"/>
      <c r="Z79" s="182">
        <f t="shared" si="16"/>
        <v>11780</v>
      </c>
      <c r="AA79" s="232">
        <f t="shared" si="14"/>
        <v>0</v>
      </c>
    </row>
    <row r="80" spans="1:27" s="131" customFormat="1" ht="37.5">
      <c r="A80" s="138"/>
      <c r="B80" s="138"/>
      <c r="C80" s="137" t="s">
        <v>423</v>
      </c>
      <c r="D80" s="155">
        <f t="shared" si="12"/>
        <v>123266.74</v>
      </c>
      <c r="E80" s="155"/>
      <c r="F80" s="155">
        <f t="shared" si="13"/>
        <v>123266.74</v>
      </c>
      <c r="G80" s="155">
        <v>123266.74</v>
      </c>
      <c r="H80" s="204">
        <f>54847.2+36835.2+1415.57</f>
        <v>93097.97</v>
      </c>
      <c r="I80" s="222"/>
      <c r="J80" s="222"/>
      <c r="K80" s="222"/>
      <c r="L80" s="209">
        <f t="shared" si="15"/>
        <v>75.52562029303282</v>
      </c>
      <c r="M80" s="216"/>
      <c r="N80" s="221">
        <f>O80+P80+Q80+R80+S80+T80+U80+V80+W80+X80-H80</f>
        <v>30168.770000000004</v>
      </c>
      <c r="O80" s="202"/>
      <c r="P80" s="178"/>
      <c r="Q80" s="178"/>
      <c r="R80" s="178"/>
      <c r="S80" s="178">
        <v>123266.74</v>
      </c>
      <c r="T80" s="178"/>
      <c r="U80" s="178"/>
      <c r="V80" s="178"/>
      <c r="W80" s="178"/>
      <c r="X80" s="178"/>
      <c r="Y80" s="178"/>
      <c r="Z80" s="182">
        <f t="shared" si="16"/>
        <v>123266.74</v>
      </c>
      <c r="AA80" s="232">
        <f t="shared" si="14"/>
        <v>0</v>
      </c>
    </row>
    <row r="81" spans="1:27" s="131" customFormat="1" ht="37.5">
      <c r="A81" s="138"/>
      <c r="B81" s="138"/>
      <c r="C81" s="137" t="s">
        <v>424</v>
      </c>
      <c r="D81" s="155">
        <f t="shared" si="12"/>
        <v>1151906</v>
      </c>
      <c r="E81" s="155"/>
      <c r="F81" s="155">
        <f t="shared" si="13"/>
        <v>1151906</v>
      </c>
      <c r="G81" s="155">
        <f>416000+735906</f>
        <v>1151906</v>
      </c>
      <c r="H81" s="204">
        <f>14777+174875+355039.6+349749.6+5253.39+7592.49+2207.4</f>
        <v>909494.48</v>
      </c>
      <c r="I81" s="222"/>
      <c r="J81" s="222"/>
      <c r="K81" s="222"/>
      <c r="L81" s="209">
        <f t="shared" si="15"/>
        <v>78.95561617006943</v>
      </c>
      <c r="M81" s="216"/>
      <c r="N81" s="221">
        <f>O81+P81+Q81+R81+S81+T81+U81+V81+W81+X81-H81</f>
        <v>242411.52000000002</v>
      </c>
      <c r="O81" s="202"/>
      <c r="P81" s="178"/>
      <c r="Q81" s="178"/>
      <c r="R81" s="178">
        <v>20000</v>
      </c>
      <c r="S81" s="178">
        <v>200000</v>
      </c>
      <c r="T81" s="178">
        <v>100000</v>
      </c>
      <c r="U81" s="178">
        <f>96000+367953</f>
        <v>463953</v>
      </c>
      <c r="V81" s="178">
        <v>367953</v>
      </c>
      <c r="W81" s="178"/>
      <c r="X81" s="178"/>
      <c r="Y81" s="178"/>
      <c r="Z81" s="182">
        <f t="shared" si="16"/>
        <v>1151906</v>
      </c>
      <c r="AA81" s="232">
        <f t="shared" si="14"/>
        <v>0</v>
      </c>
    </row>
    <row r="82" spans="1:27" s="131" customFormat="1" ht="37.5">
      <c r="A82" s="138"/>
      <c r="B82" s="138"/>
      <c r="C82" s="137" t="s">
        <v>425</v>
      </c>
      <c r="D82" s="155">
        <f t="shared" si="12"/>
        <v>8137.29</v>
      </c>
      <c r="E82" s="155"/>
      <c r="F82" s="155">
        <f t="shared" si="13"/>
        <v>8137.29</v>
      </c>
      <c r="G82" s="155">
        <v>8137.29</v>
      </c>
      <c r="H82" s="204"/>
      <c r="I82" s="222"/>
      <c r="J82" s="222"/>
      <c r="K82" s="222"/>
      <c r="L82" s="209"/>
      <c r="M82" s="216"/>
      <c r="N82" s="221">
        <f>O82+P82+Q82+R82+S82+T82+U82+V82+W82+X82-H82</f>
        <v>8137.29</v>
      </c>
      <c r="O82" s="202"/>
      <c r="P82" s="178"/>
      <c r="Q82" s="178"/>
      <c r="R82" s="178">
        <v>8137.29</v>
      </c>
      <c r="S82" s="178"/>
      <c r="T82" s="178"/>
      <c r="U82" s="178"/>
      <c r="V82" s="178"/>
      <c r="W82" s="178"/>
      <c r="X82" s="178"/>
      <c r="Y82" s="178"/>
      <c r="Z82" s="182">
        <f t="shared" si="16"/>
        <v>8137.29</v>
      </c>
      <c r="AA82" s="232">
        <f t="shared" si="14"/>
        <v>0</v>
      </c>
    </row>
    <row r="83" spans="1:27" s="131" customFormat="1" ht="37.5">
      <c r="A83" s="138"/>
      <c r="B83" s="138"/>
      <c r="C83" s="137" t="s">
        <v>426</v>
      </c>
      <c r="D83" s="155">
        <f t="shared" si="12"/>
        <v>49765.37</v>
      </c>
      <c r="E83" s="155"/>
      <c r="F83" s="155">
        <f t="shared" si="13"/>
        <v>49765.37</v>
      </c>
      <c r="G83" s="155">
        <v>49765.37</v>
      </c>
      <c r="H83" s="204"/>
      <c r="I83" s="222"/>
      <c r="J83" s="222"/>
      <c r="K83" s="222"/>
      <c r="L83" s="209"/>
      <c r="M83" s="216"/>
      <c r="N83" s="221">
        <f>O83+P83+Q83+R83+S83+T83+U83+V83+W83+X83-H83</f>
        <v>49765.37</v>
      </c>
      <c r="O83" s="202"/>
      <c r="P83" s="178"/>
      <c r="Q83" s="178"/>
      <c r="R83" s="178">
        <v>49765.37</v>
      </c>
      <c r="S83" s="178"/>
      <c r="T83" s="178"/>
      <c r="U83" s="178"/>
      <c r="V83" s="178"/>
      <c r="W83" s="178"/>
      <c r="X83" s="178"/>
      <c r="Y83" s="178"/>
      <c r="Z83" s="182">
        <f t="shared" si="16"/>
        <v>49765.37</v>
      </c>
      <c r="AA83" s="232">
        <f t="shared" si="14"/>
        <v>0</v>
      </c>
    </row>
    <row r="84" spans="1:27" s="131" customFormat="1" ht="37.5">
      <c r="A84" s="138"/>
      <c r="B84" s="138"/>
      <c r="C84" s="137" t="s">
        <v>427</v>
      </c>
      <c r="D84" s="155">
        <f t="shared" si="12"/>
        <v>109814.8</v>
      </c>
      <c r="E84" s="155"/>
      <c r="F84" s="155">
        <f t="shared" si="13"/>
        <v>109814.8</v>
      </c>
      <c r="G84" s="155">
        <v>109814.8</v>
      </c>
      <c r="H84" s="204"/>
      <c r="I84" s="222"/>
      <c r="J84" s="222"/>
      <c r="K84" s="222"/>
      <c r="L84" s="209"/>
      <c r="M84" s="216"/>
      <c r="N84" s="221">
        <f>O84+P84+Q84+R84+S84+T84+U84+V84+W84+X84-H84</f>
        <v>109814.8</v>
      </c>
      <c r="O84" s="202"/>
      <c r="P84" s="178"/>
      <c r="Q84" s="178"/>
      <c r="R84" s="178"/>
      <c r="S84" s="178">
        <v>90000</v>
      </c>
      <c r="T84" s="178">
        <v>19814.8</v>
      </c>
      <c r="U84" s="178"/>
      <c r="V84" s="178"/>
      <c r="W84" s="178"/>
      <c r="X84" s="178"/>
      <c r="Y84" s="178"/>
      <c r="Z84" s="182">
        <f t="shared" si="16"/>
        <v>109814.8</v>
      </c>
      <c r="AA84" s="232">
        <f t="shared" si="14"/>
        <v>0</v>
      </c>
    </row>
    <row r="85" spans="1:27" s="131" customFormat="1" ht="37.5">
      <c r="A85" s="138"/>
      <c r="B85" s="138"/>
      <c r="C85" s="137" t="s">
        <v>428</v>
      </c>
      <c r="D85" s="155">
        <f t="shared" si="12"/>
        <v>512059.78</v>
      </c>
      <c r="E85" s="155"/>
      <c r="F85" s="155">
        <f t="shared" si="13"/>
        <v>512059.78</v>
      </c>
      <c r="G85" s="155">
        <f>412059.78+100000</f>
        <v>512059.78</v>
      </c>
      <c r="H85" s="204">
        <f>200655.6</f>
        <v>200655.6</v>
      </c>
      <c r="I85" s="222"/>
      <c r="J85" s="222"/>
      <c r="K85" s="222"/>
      <c r="L85" s="209">
        <f t="shared" si="15"/>
        <v>39.18597160667452</v>
      </c>
      <c r="M85" s="216"/>
      <c r="N85" s="221">
        <f>O85+P85+Q85+R85+S85+T85+U85+V85+W85+X85-H85</f>
        <v>311404.18000000005</v>
      </c>
      <c r="O85" s="202"/>
      <c r="P85" s="178"/>
      <c r="Q85" s="178"/>
      <c r="R85" s="178">
        <v>100000</v>
      </c>
      <c r="S85" s="178">
        <v>200000</v>
      </c>
      <c r="T85" s="178">
        <v>112059.78</v>
      </c>
      <c r="U85" s="178"/>
      <c r="V85" s="178"/>
      <c r="W85" s="178"/>
      <c r="X85" s="178">
        <v>100000</v>
      </c>
      <c r="Y85" s="178"/>
      <c r="Z85" s="182">
        <f t="shared" si="16"/>
        <v>512059.78</v>
      </c>
      <c r="AA85" s="232">
        <f t="shared" si="14"/>
        <v>0</v>
      </c>
    </row>
    <row r="86" spans="1:27" s="131" customFormat="1" ht="37.5">
      <c r="A86" s="138"/>
      <c r="B86" s="138"/>
      <c r="C86" s="137" t="s">
        <v>429</v>
      </c>
      <c r="D86" s="155">
        <f t="shared" si="12"/>
        <v>454000</v>
      </c>
      <c r="E86" s="155"/>
      <c r="F86" s="155">
        <f t="shared" si="13"/>
        <v>454000</v>
      </c>
      <c r="G86" s="155">
        <f>134000+320000</f>
        <v>454000</v>
      </c>
      <c r="H86" s="204">
        <f>4785.73+1033.3</f>
        <v>5819.03</v>
      </c>
      <c r="I86" s="222"/>
      <c r="J86" s="222"/>
      <c r="K86" s="222"/>
      <c r="L86" s="209">
        <f t="shared" si="15"/>
        <v>1.2817246696035243</v>
      </c>
      <c r="M86" s="216"/>
      <c r="N86" s="221">
        <f>O86+P86+Q86+R86+S86+T86+U86+V86+W86+X86-H86</f>
        <v>448180.97</v>
      </c>
      <c r="O86" s="202"/>
      <c r="P86" s="178"/>
      <c r="Q86" s="178"/>
      <c r="R86" s="178"/>
      <c r="S86" s="178"/>
      <c r="T86" s="178">
        <v>30000</v>
      </c>
      <c r="U86" s="178">
        <v>50000</v>
      </c>
      <c r="V86" s="178">
        <v>54000</v>
      </c>
      <c r="W86" s="178"/>
      <c r="X86" s="178">
        <v>320000</v>
      </c>
      <c r="Y86" s="178"/>
      <c r="Z86" s="182">
        <f t="shared" si="16"/>
        <v>454000</v>
      </c>
      <c r="AA86" s="232">
        <f t="shared" si="14"/>
        <v>0</v>
      </c>
    </row>
    <row r="87" spans="1:27" s="131" customFormat="1" ht="37.5" hidden="1">
      <c r="A87" s="138"/>
      <c r="B87" s="138"/>
      <c r="C87" s="137" t="s">
        <v>430</v>
      </c>
      <c r="D87" s="155">
        <f t="shared" si="12"/>
        <v>0</v>
      </c>
      <c r="E87" s="155"/>
      <c r="F87" s="155">
        <f t="shared" si="13"/>
        <v>0</v>
      </c>
      <c r="G87" s="155">
        <f>80000-80000</f>
        <v>0</v>
      </c>
      <c r="H87" s="204"/>
      <c r="I87" s="222"/>
      <c r="J87" s="222"/>
      <c r="K87" s="222"/>
      <c r="L87" s="209"/>
      <c r="M87" s="216"/>
      <c r="N87" s="221">
        <f>O87+P87+Q87+R87+S87+T87+U87+V87+W87+X87-H87</f>
        <v>0</v>
      </c>
      <c r="O87" s="202"/>
      <c r="P87" s="178"/>
      <c r="Q87" s="178"/>
      <c r="R87" s="178"/>
      <c r="S87" s="178">
        <v>80000</v>
      </c>
      <c r="T87" s="178"/>
      <c r="U87" s="178"/>
      <c r="V87" s="178"/>
      <c r="W87" s="178"/>
      <c r="X87" s="178">
        <v>-80000</v>
      </c>
      <c r="Y87" s="178"/>
      <c r="Z87" s="182">
        <f t="shared" si="16"/>
        <v>0</v>
      </c>
      <c r="AA87" s="232">
        <f t="shared" si="14"/>
        <v>0</v>
      </c>
    </row>
    <row r="88" spans="1:27" s="131" customFormat="1" ht="18.75">
      <c r="A88" s="138"/>
      <c r="B88" s="138"/>
      <c r="C88" s="137" t="s">
        <v>265</v>
      </c>
      <c r="D88" s="155">
        <f t="shared" si="12"/>
        <v>300000</v>
      </c>
      <c r="E88" s="155"/>
      <c r="F88" s="155">
        <f t="shared" si="13"/>
        <v>300000</v>
      </c>
      <c r="G88" s="155">
        <v>300000</v>
      </c>
      <c r="H88" s="204">
        <f>48143.1+5904</f>
        <v>54047.1</v>
      </c>
      <c r="I88" s="222"/>
      <c r="J88" s="222"/>
      <c r="K88" s="222"/>
      <c r="L88" s="209">
        <f t="shared" si="15"/>
        <v>18.0157</v>
      </c>
      <c r="M88" s="216"/>
      <c r="N88" s="221">
        <f>O88+P88+Q88+R88+S88+T88+U88+V88+W88+X88-H88</f>
        <v>245952.9</v>
      </c>
      <c r="O88" s="202"/>
      <c r="P88" s="178"/>
      <c r="Q88" s="178"/>
      <c r="R88" s="178"/>
      <c r="S88" s="178"/>
      <c r="T88" s="178">
        <v>100000</v>
      </c>
      <c r="U88" s="178">
        <v>100000</v>
      </c>
      <c r="V88" s="178">
        <v>100000</v>
      </c>
      <c r="W88" s="178"/>
      <c r="X88" s="178"/>
      <c r="Y88" s="178"/>
      <c r="Z88" s="182">
        <f t="shared" si="16"/>
        <v>300000</v>
      </c>
      <c r="AA88" s="232">
        <f t="shared" si="14"/>
        <v>0</v>
      </c>
    </row>
    <row r="89" spans="1:27" s="131" customFormat="1" ht="37.5">
      <c r="A89" s="138"/>
      <c r="B89" s="138"/>
      <c r="C89" s="137" t="s">
        <v>431</v>
      </c>
      <c r="D89" s="155">
        <f t="shared" si="12"/>
        <v>380000</v>
      </c>
      <c r="E89" s="155"/>
      <c r="F89" s="155">
        <f t="shared" si="13"/>
        <v>380000</v>
      </c>
      <c r="G89" s="155">
        <v>380000</v>
      </c>
      <c r="H89" s="204"/>
      <c r="I89" s="222"/>
      <c r="J89" s="222"/>
      <c r="K89" s="222"/>
      <c r="L89" s="209"/>
      <c r="M89" s="216"/>
      <c r="N89" s="221">
        <f>O89+P89+Q89+R89+S89+T89+U89+V89+W89+X89-H89</f>
        <v>380000</v>
      </c>
      <c r="O89" s="202"/>
      <c r="P89" s="178"/>
      <c r="Q89" s="178"/>
      <c r="R89" s="178"/>
      <c r="S89" s="178"/>
      <c r="T89" s="178">
        <v>50000</v>
      </c>
      <c r="U89" s="178">
        <v>110000</v>
      </c>
      <c r="V89" s="178">
        <v>110000</v>
      </c>
      <c r="W89" s="178">
        <v>110000</v>
      </c>
      <c r="X89" s="178"/>
      <c r="Y89" s="178"/>
      <c r="Z89" s="182">
        <f t="shared" si="16"/>
        <v>380000</v>
      </c>
      <c r="AA89" s="232">
        <f t="shared" si="14"/>
        <v>0</v>
      </c>
    </row>
    <row r="90" spans="1:26" ht="18.75">
      <c r="A90" s="164"/>
      <c r="B90" s="169"/>
      <c r="C90" s="165" t="s">
        <v>270</v>
      </c>
      <c r="D90" s="152">
        <f>D7+D46+D43</f>
        <v>77523104.61</v>
      </c>
      <c r="E90" s="152">
        <f>E7+E46+E43</f>
        <v>14950000</v>
      </c>
      <c r="F90" s="152">
        <f>F7+F46+F43</f>
        <v>62573104.61</v>
      </c>
      <c r="G90" s="152">
        <f>G7+G46+G43</f>
        <v>58894425.46</v>
      </c>
      <c r="H90" s="175">
        <f>H7+H46+H43</f>
        <v>34158942.83</v>
      </c>
      <c r="I90" s="175"/>
      <c r="J90" s="233"/>
      <c r="K90" s="233"/>
      <c r="L90" s="227">
        <f>H90/(O90+P90+Q90+R90+S90+T90+U90+V90+W90+X90)*100</f>
        <v>44.48159843412072</v>
      </c>
      <c r="M90" s="218"/>
      <c r="N90" s="220">
        <f>O90+P90+Q90+R90+S90+T90+U90+V90+W90+X90-H90</f>
        <v>42634481.94000001</v>
      </c>
      <c r="O90" s="192">
        <f aca="true" t="shared" si="17" ref="O90:X90">O7+O46+O43</f>
        <v>2859888.08</v>
      </c>
      <c r="P90" s="152">
        <f t="shared" si="17"/>
        <v>450000</v>
      </c>
      <c r="Q90" s="152">
        <f t="shared" si="17"/>
        <v>1900000</v>
      </c>
      <c r="R90" s="152">
        <f t="shared" si="17"/>
        <v>4546782.66</v>
      </c>
      <c r="S90" s="152">
        <f t="shared" si="17"/>
        <v>4961645.949999999</v>
      </c>
      <c r="T90" s="152">
        <f t="shared" si="17"/>
        <v>5508135.970000001</v>
      </c>
      <c r="U90" s="152">
        <f t="shared" si="17"/>
        <v>13867948.33</v>
      </c>
      <c r="V90" s="152">
        <f>V7+V46+V43</f>
        <v>26683527.07</v>
      </c>
      <c r="W90" s="152">
        <f t="shared" si="17"/>
        <v>13362261.21</v>
      </c>
      <c r="X90" s="152">
        <f t="shared" si="17"/>
        <v>2653235.5</v>
      </c>
      <c r="Y90" s="152">
        <f>Y7+Y46+Y43</f>
        <v>729679.8400000001</v>
      </c>
      <c r="Z90" s="152">
        <f>Z7+Z46+Z43</f>
        <v>77523104.61</v>
      </c>
    </row>
    <row r="91" spans="1:6" ht="18.75">
      <c r="A91" s="144"/>
      <c r="B91" s="139"/>
      <c r="C91" s="166"/>
      <c r="D91" s="167"/>
      <c r="E91" s="139"/>
      <c r="F91" s="139"/>
    </row>
    <row r="92" spans="1:6" ht="18.75">
      <c r="A92" s="139"/>
      <c r="B92" s="140"/>
      <c r="C92" s="141"/>
      <c r="D92" s="142"/>
      <c r="E92" s="140"/>
      <c r="F92" s="139"/>
    </row>
    <row r="93" spans="1:7" ht="33" customHeight="1">
      <c r="A93" s="281"/>
      <c r="B93" s="281"/>
      <c r="C93" s="281"/>
      <c r="D93" s="145"/>
      <c r="E93" s="145"/>
      <c r="F93" s="145"/>
      <c r="G93" s="145"/>
    </row>
  </sheetData>
  <sheetProtection/>
  <mergeCells count="15">
    <mergeCell ref="A42:L42"/>
    <mergeCell ref="A93:C93"/>
    <mergeCell ref="A1:H1"/>
    <mergeCell ref="A2:H2"/>
    <mergeCell ref="H4:H5"/>
    <mergeCell ref="E4:E5"/>
    <mergeCell ref="F4:F5"/>
    <mergeCell ref="A4:A5"/>
    <mergeCell ref="C4:C5"/>
    <mergeCell ref="D4:D5"/>
    <mergeCell ref="K4:K5"/>
    <mergeCell ref="L4:L5"/>
    <mergeCell ref="A6:L6"/>
    <mergeCell ref="J4:J5"/>
    <mergeCell ref="I4:I5"/>
  </mergeCells>
  <printOptions/>
  <pageMargins left="0.23" right="0.17"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2015-11-05T14:29:52Z</cp:lastPrinted>
  <dcterms:created xsi:type="dcterms:W3CDTF">2014-01-17T10:52:16Z</dcterms:created>
  <dcterms:modified xsi:type="dcterms:W3CDTF">2015-11-30T13:33:44Z</dcterms:modified>
  <cp:category/>
  <cp:version/>
  <cp:contentType/>
  <cp:contentStatus/>
</cp:coreProperties>
</file>